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3"/>
  </bookViews>
  <sheets>
    <sheet name="січ" sheetId="1" r:id="rId1"/>
    <sheet name="лют" sheetId="2" r:id="rId2"/>
    <sheet name="бер" sheetId="3" r:id="rId3"/>
    <sheet name="квіт" sheetId="4" r:id="rId4"/>
  </sheets>
  <definedNames>
    <definedName name="_xlnm.Print_Area" localSheetId="2">'бер'!$A$1:$AG$99</definedName>
    <definedName name="_xlnm.Print_Area" localSheetId="3">'квіт'!$A$1:$AG$99</definedName>
    <definedName name="_xlnm.Print_Area" localSheetId="1">'лют'!$A$1:$AG$99</definedName>
    <definedName name="_xlnm.Print_Area" localSheetId="0">'січ'!$A$1:$AG$99</definedName>
  </definedNames>
  <calcPr fullCalcOnLoad="1"/>
</workbook>
</file>

<file path=xl/sharedStrings.xml><?xml version="1.0" encoding="utf-8"?>
<sst xmlns="http://schemas.openxmlformats.org/spreadsheetml/2006/main" count="416" uniqueCount="59">
  <si>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</si>
  <si>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</si>
  <si>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</si>
  <si>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</si>
  <si>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</si>
  <si>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</si>
  <si>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</si>
  <si>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</si>
  <si>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</si>
  <si>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</si>
  <si>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</si>
  <si>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</si>
  <si>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</si>
  <si>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</si>
  <si>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</si>
  <si>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</si>
  <si>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</si>
  <si>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</si>
  <si>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</si>
  <si>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</si>
  <si>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</si>
  <si>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</si>
  <si>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</si>
  <si>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</si>
  <si>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</si>
  <si>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</si>
  <si>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</si>
  <si>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</si>
  <si>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</si>
  <si>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</si>
  <si>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</si>
  <si>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</si>
  <si>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</si>
  <si>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</si>
  <si>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</si>
  <si>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</si>
  <si>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</si>
  <si>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</si>
  <si>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</si>
  <si>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</si>
  <si>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</si>
  <si>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</si>
  <si>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</si>
  <si>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</si>
  <si>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</si>
  <si>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</si>
  <si>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</si>
  <si>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</si>
  <si>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</si>
  <si>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</si>
  <si>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</si>
  <si>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</si>
  <si>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</si>
  <si>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ЛЮТОМУ 2017 р.</t>
  </si>
  <si>
    <t>надійшло доходів/план видатків
 на лютий</t>
  </si>
  <si>
    <t>по міському бюджету м.Черкаси у БЕРЕЗНІ 2017 р.</t>
  </si>
  <si>
    <t>надійшло доходів/план видатків
 на березень</t>
  </si>
  <si>
    <t>по міському бюджету м.Черкаси у КВІТНІ 2017 р.</t>
  </si>
  <si>
    <t>надійшло доходів/план видатків
 на квітень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</si>
</sst>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" sqref="W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45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35785.8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>
        <v>8533.9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8419.2</v>
      </c>
      <c r="AF7" s="72"/>
      <c r="AG7" s="48"/>
    </row>
    <row r="8" spans="1:55" ht="18" customHeight="1">
      <c r="A8" s="60" t="s">
        <v>30</v>
      </c>
      <c r="B8" s="40">
        <f>SUM(D8:AB8)</f>
        <v>88814.49999999999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>
        <v>4149.9</v>
      </c>
      <c r="M8" s="55">
        <v>4841.5</v>
      </c>
      <c r="N8" s="55">
        <v>3518.6</v>
      </c>
      <c r="O8" s="55">
        <v>3664.5</v>
      </c>
      <c r="P8" s="55">
        <v>5950.5</v>
      </c>
      <c r="Q8" s="55">
        <v>8432.1</v>
      </c>
      <c r="R8" s="55">
        <v>5846.1</v>
      </c>
      <c r="S8" s="57">
        <v>3228.5</v>
      </c>
      <c r="T8" s="57">
        <v>3150.3</v>
      </c>
      <c r="U8" s="55">
        <v>5220.9</v>
      </c>
      <c r="V8" s="55">
        <v>8862.4</v>
      </c>
      <c r="W8" s="55">
        <f>13760.5-214.5</f>
        <v>13546</v>
      </c>
      <c r="X8" s="56"/>
      <c r="Y8" s="56"/>
      <c r="Z8" s="56"/>
      <c r="AA8" s="56"/>
      <c r="AB8" s="55"/>
      <c r="AC8" s="23"/>
      <c r="AD8" s="23"/>
      <c r="AE8" s="61">
        <v>58505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152222.09999999998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250.6</v>
      </c>
      <c r="M9" s="24">
        <f t="shared" si="0"/>
        <v>301.70000000000005</v>
      </c>
      <c r="N9" s="24">
        <f t="shared" si="0"/>
        <v>32.9</v>
      </c>
      <c r="O9" s="24">
        <f t="shared" si="0"/>
        <v>21352.5</v>
      </c>
      <c r="P9" s="24">
        <f t="shared" si="0"/>
        <v>3395</v>
      </c>
      <c r="Q9" s="24">
        <f t="shared" si="0"/>
        <v>591.5</v>
      </c>
      <c r="R9" s="24">
        <f t="shared" si="0"/>
        <v>182.9</v>
      </c>
      <c r="S9" s="24">
        <f t="shared" si="0"/>
        <v>816.4999999999999</v>
      </c>
      <c r="T9" s="24">
        <f t="shared" si="0"/>
        <v>16806.9</v>
      </c>
      <c r="U9" s="24">
        <f t="shared" si="0"/>
        <v>31086.499999999996</v>
      </c>
      <c r="V9" s="24">
        <f t="shared" si="0"/>
        <v>8548.2</v>
      </c>
      <c r="W9" s="24">
        <f t="shared" si="0"/>
        <v>12355.9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103297.19999999998</v>
      </c>
      <c r="AG9" s="50">
        <f>AG10+AG15+AG24+AG33+AG47+AG52+AG54+AG61+AG62+AG71+AG72+AG76+AG88+AG81+AG83+AG82+AG69+AG89+AG91+AG90+AG70+AG40+AG92</f>
        <v>48924.9</v>
      </c>
      <c r="AH9" s="49"/>
      <c r="AI9" s="49"/>
    </row>
    <row r="10" spans="1:33" ht="15.7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>
        <v>250.6</v>
      </c>
      <c r="M10" s="22">
        <v>6.8</v>
      </c>
      <c r="N10" s="22">
        <v>2.9</v>
      </c>
      <c r="O10" s="27">
        <v>10.6</v>
      </c>
      <c r="P10" s="22">
        <v>5.5</v>
      </c>
      <c r="Q10" s="22">
        <v>0.6</v>
      </c>
      <c r="R10" s="22">
        <v>1.5</v>
      </c>
      <c r="S10" s="26">
        <v>29.3</v>
      </c>
      <c r="T10" s="26">
        <v>1648.7</v>
      </c>
      <c r="U10" s="26">
        <v>1618.2</v>
      </c>
      <c r="V10" s="26">
        <v>708.6</v>
      </c>
      <c r="W10" s="26">
        <v>2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6170.700000000001</v>
      </c>
      <c r="AG10" s="27">
        <f>B10+C10-AF10</f>
        <v>7328.199999999999</v>
      </c>
    </row>
    <row r="11" spans="1:33" ht="15.7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>
        <v>216.8</v>
      </c>
      <c r="M11" s="22">
        <v>0.1</v>
      </c>
      <c r="N11" s="22"/>
      <c r="O11" s="27"/>
      <c r="P11" s="22"/>
      <c r="Q11" s="22"/>
      <c r="R11" s="22"/>
      <c r="S11" s="26">
        <v>15.6</v>
      </c>
      <c r="T11" s="26">
        <v>1633.8</v>
      </c>
      <c r="U11" s="26">
        <v>1584.8</v>
      </c>
      <c r="V11" s="26">
        <v>610.3</v>
      </c>
      <c r="W11" s="26">
        <v>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5941.1</v>
      </c>
      <c r="AG11" s="27">
        <f>B11+C11-AF11</f>
        <v>6467.5</v>
      </c>
    </row>
    <row r="12" spans="1:33" ht="15.7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>
        <v>48.5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48.5</v>
      </c>
      <c r="AG12" s="27">
        <f>B12+C12-AF12</f>
        <v>357.4</v>
      </c>
    </row>
    <row r="13" spans="1:33" ht="15.7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33.79999999999998</v>
      </c>
      <c r="M14" s="22">
        <f t="shared" si="2"/>
        <v>6.7</v>
      </c>
      <c r="N14" s="22">
        <f t="shared" si="2"/>
        <v>2.9</v>
      </c>
      <c r="O14" s="22">
        <f t="shared" si="2"/>
        <v>10.6</v>
      </c>
      <c r="P14" s="22">
        <f t="shared" si="2"/>
        <v>5.5</v>
      </c>
      <c r="Q14" s="22">
        <f t="shared" si="2"/>
        <v>0.6</v>
      </c>
      <c r="R14" s="22">
        <f t="shared" si="2"/>
        <v>1.5</v>
      </c>
      <c r="S14" s="22">
        <f t="shared" si="2"/>
        <v>13.700000000000001</v>
      </c>
      <c r="T14" s="22">
        <f t="shared" si="2"/>
        <v>14.900000000000091</v>
      </c>
      <c r="U14" s="22">
        <f t="shared" si="2"/>
        <v>33.40000000000009</v>
      </c>
      <c r="V14" s="22">
        <f t="shared" si="2"/>
        <v>49.80000000000007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181.1000000000002</v>
      </c>
      <c r="AG14" s="27">
        <f>AG10-AG11-AG12-AG13</f>
        <v>503.29999999999893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>
        <v>13522.8</v>
      </c>
      <c r="P15" s="22">
        <v>199.8</v>
      </c>
      <c r="Q15" s="27">
        <v>351</v>
      </c>
      <c r="R15" s="22">
        <v>3.4</v>
      </c>
      <c r="S15" s="26">
        <v>1.2</v>
      </c>
      <c r="T15" s="26">
        <v>14658</v>
      </c>
      <c r="U15" s="26">
        <v>9356.3</v>
      </c>
      <c r="V15" s="26">
        <v>1168.4</v>
      </c>
      <c r="W15" s="26">
        <v>403.4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39664.3</v>
      </c>
      <c r="AG15" s="27">
        <f aca="true" t="shared" si="3" ref="AG15:AG31">B15+C15-AF15</f>
        <v>22191.999999999993</v>
      </c>
    </row>
    <row r="16" spans="1:34" s="70" customFormat="1" ht="15" customHeight="1">
      <c r="A16" s="65" t="s">
        <v>38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>
        <v>6699.4</v>
      </c>
      <c r="P16" s="66"/>
      <c r="Q16" s="69"/>
      <c r="R16" s="66"/>
      <c r="S16" s="68"/>
      <c r="T16" s="68">
        <v>11261.7</v>
      </c>
      <c r="U16" s="68"/>
      <c r="V16" s="68">
        <v>10.2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17971.3</v>
      </c>
      <c r="AG16" s="71">
        <f t="shared" si="3"/>
        <v>2349.5999999999985</v>
      </c>
      <c r="AH16" s="75"/>
    </row>
    <row r="17" spans="1:34" ht="15.75">
      <c r="A17" s="3" t="s">
        <v>5</v>
      </c>
      <c r="B17" s="22">
        <f>39307.7+47.1+1680.7+57.4</f>
        <v>41092.899999999994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>
        <v>12945</v>
      </c>
      <c r="P17" s="22"/>
      <c r="Q17" s="27"/>
      <c r="R17" s="22"/>
      <c r="S17" s="26"/>
      <c r="T17" s="26">
        <v>14658</v>
      </c>
      <c r="U17" s="26">
        <v>9353.4</v>
      </c>
      <c r="V17" s="26">
        <v>10.2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36966.6</v>
      </c>
      <c r="AG17" s="27">
        <f t="shared" si="3"/>
        <v>4126.299999999996</v>
      </c>
      <c r="AH17" s="6"/>
    </row>
    <row r="18" spans="1:33" ht="15.7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.7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>
        <v>577.8</v>
      </c>
      <c r="P19" s="22">
        <v>199.8</v>
      </c>
      <c r="Q19" s="27">
        <v>74.7</v>
      </c>
      <c r="R19" s="22"/>
      <c r="S19" s="26"/>
      <c r="T19" s="26"/>
      <c r="U19" s="26">
        <v>2.9</v>
      </c>
      <c r="V19" s="26">
        <v>214.2</v>
      </c>
      <c r="W19" s="26">
        <v>13.4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1082.8</v>
      </c>
      <c r="AG19" s="27">
        <f t="shared" si="3"/>
        <v>1141.5000000000002</v>
      </c>
    </row>
    <row r="20" spans="1:33" ht="15.75">
      <c r="A20" s="3" t="s">
        <v>2</v>
      </c>
      <c r="B20" s="22">
        <f>18581.8-1756.3-57.5+19.4</f>
        <v>16787.4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>
        <v>143.9</v>
      </c>
      <c r="W20" s="26">
        <v>390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533.9</v>
      </c>
      <c r="AG20" s="27">
        <f t="shared" si="3"/>
        <v>16253.500000000002</v>
      </c>
    </row>
    <row r="21" spans="1:33" ht="15.75">
      <c r="A21" s="3" t="s">
        <v>16</v>
      </c>
      <c r="B21" s="22">
        <f>1266.1+18.1</f>
        <v>1284.1999999999998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>
        <v>276.3</v>
      </c>
      <c r="R21" s="22">
        <v>3.4</v>
      </c>
      <c r="S21" s="26">
        <v>1.2</v>
      </c>
      <c r="T21" s="26"/>
      <c r="U21" s="22"/>
      <c r="V21" s="22">
        <v>766.5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1047.4</v>
      </c>
      <c r="AG21" s="27">
        <f t="shared" si="3"/>
        <v>236.79999999999973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462.90000000000236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-6.821210263296962E-13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-3.637090628672013E-13</v>
      </c>
      <c r="V23" s="22">
        <f t="shared" si="4"/>
        <v>33.60000000000002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33.59999999999898</v>
      </c>
      <c r="AG23" s="27">
        <f t="shared" si="3"/>
        <v>429.30000000000337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>
        <v>7750.2</v>
      </c>
      <c r="P24" s="22"/>
      <c r="Q24" s="27"/>
      <c r="R24" s="27"/>
      <c r="S24" s="26"/>
      <c r="T24" s="26"/>
      <c r="U24" s="26">
        <v>16091.8</v>
      </c>
      <c r="V24" s="26">
        <v>509.8</v>
      </c>
      <c r="W24" s="26">
        <v>21.4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24373.2</v>
      </c>
      <c r="AG24" s="27">
        <f t="shared" si="3"/>
        <v>8646.7</v>
      </c>
    </row>
    <row r="25" spans="1:34" s="70" customFormat="1" ht="15" customHeight="1">
      <c r="A25" s="65" t="s">
        <v>39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>
        <v>7750.2</v>
      </c>
      <c r="P25" s="66"/>
      <c r="Q25" s="69"/>
      <c r="R25" s="69"/>
      <c r="S25" s="68"/>
      <c r="T25" s="68"/>
      <c r="U25" s="68">
        <v>9045.4</v>
      </c>
      <c r="V25" s="68">
        <v>-324.4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16471.199999999997</v>
      </c>
      <c r="AG25" s="71">
        <f t="shared" si="3"/>
        <v>3383.100000000002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33019.9</v>
      </c>
      <c r="C32" s="22">
        <f aca="true" t="shared" si="5" ref="C32:AD32">C24-C26-C27-C28-C29-C30-C31</f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7750.2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16091.8</v>
      </c>
      <c r="V32" s="22">
        <f t="shared" si="5"/>
        <v>509.8</v>
      </c>
      <c r="W32" s="22">
        <f t="shared" si="5"/>
        <v>21.4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24373.2</v>
      </c>
      <c r="AG32" s="27">
        <f>AG24</f>
        <v>8646.7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>
        <v>55.6</v>
      </c>
      <c r="Q33" s="27"/>
      <c r="R33" s="22">
        <v>0.2</v>
      </c>
      <c r="S33" s="26"/>
      <c r="T33" s="26"/>
      <c r="U33" s="26">
        <v>146.1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201.9</v>
      </c>
      <c r="AG33" s="27">
        <f aca="true" t="shared" si="6" ref="AG33:AG38">B33+C33-AF33</f>
        <v>114.99999999999997</v>
      </c>
    </row>
    <row r="34" spans="1:33" ht="15.7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>
        <v>55.6</v>
      </c>
      <c r="Q34" s="27"/>
      <c r="R34" s="22"/>
      <c r="S34" s="26"/>
      <c r="T34" s="26"/>
      <c r="U34" s="26">
        <v>146.1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201.7</v>
      </c>
      <c r="AG34" s="27">
        <f t="shared" si="6"/>
        <v>33.400000000000006</v>
      </c>
    </row>
    <row r="35" spans="1:33" ht="15.7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.7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0.2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</v>
      </c>
      <c r="AG39" s="27">
        <f>AG33-AG34-AG36-AG38-AG35-AG37</f>
        <v>1.099999999999966</v>
      </c>
    </row>
    <row r="40" spans="1:33" ht="15" customHeight="1">
      <c r="A40" s="4" t="s">
        <v>29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>
        <v>155.5</v>
      </c>
      <c r="N40" s="22"/>
      <c r="O40" s="27"/>
      <c r="P40" s="22"/>
      <c r="Q40" s="27">
        <v>3.1</v>
      </c>
      <c r="R40" s="27">
        <v>3.7</v>
      </c>
      <c r="S40" s="26"/>
      <c r="T40" s="26"/>
      <c r="U40" s="26">
        <v>452.3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717.5</v>
      </c>
      <c r="AG40" s="27">
        <f aca="true" t="shared" si="8" ref="AG40:AG45">B40+C40-AF40</f>
        <v>250.79999999999995</v>
      </c>
    </row>
    <row r="41" spans="1:34" ht="15.7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>
        <v>154.9</v>
      </c>
      <c r="N41" s="22"/>
      <c r="O41" s="27"/>
      <c r="P41" s="22"/>
      <c r="Q41" s="22"/>
      <c r="R41" s="22"/>
      <c r="S41" s="26"/>
      <c r="T41" s="26"/>
      <c r="U41" s="26">
        <v>447.3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704.9000000000001</v>
      </c>
      <c r="AG41" s="27">
        <f t="shared" si="8"/>
        <v>110.39999999999986</v>
      </c>
      <c r="AH41" s="6"/>
    </row>
    <row r="42" spans="1:33" ht="15.7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.7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>
        <v>3.1</v>
      </c>
      <c r="R44" s="22">
        <v>3.5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6.6</v>
      </c>
      <c r="AG44" s="27">
        <f t="shared" si="8"/>
        <v>132.3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0.5999999999999943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0.20000000000000018</v>
      </c>
      <c r="S46" s="22">
        <f t="shared" si="10"/>
        <v>0</v>
      </c>
      <c r="T46" s="22">
        <f t="shared" si="10"/>
        <v>0</v>
      </c>
      <c r="U46" s="22">
        <f t="shared" si="10"/>
        <v>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5.999999999999997</v>
      </c>
      <c r="AG46" s="27">
        <f>AG40-AG41-AG42-AG43-AG44-AG45</f>
        <v>8.10000000000008</v>
      </c>
    </row>
    <row r="47" spans="1:33" ht="17.25" customHeight="1">
      <c r="A47" s="4" t="s">
        <v>43</v>
      </c>
      <c r="B47" s="36">
        <f>1148-29</f>
        <v>1119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>
        <v>139.4</v>
      </c>
      <c r="N47" s="28">
        <v>4</v>
      </c>
      <c r="O47" s="31"/>
      <c r="P47" s="28"/>
      <c r="Q47" s="28">
        <v>202</v>
      </c>
      <c r="R47" s="28">
        <v>15.3</v>
      </c>
      <c r="S47" s="29"/>
      <c r="T47" s="29">
        <v>32.9</v>
      </c>
      <c r="U47" s="28">
        <v>18.1</v>
      </c>
      <c r="V47" s="28">
        <v>0.4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412.09999999999997</v>
      </c>
      <c r="AG47" s="27">
        <f>B47+C47-AF47</f>
        <v>706.9000000000001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989.3-29</f>
        <v>960.3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>
        <v>139.3</v>
      </c>
      <c r="N49" s="22">
        <v>4</v>
      </c>
      <c r="O49" s="27"/>
      <c r="P49" s="22"/>
      <c r="Q49" s="22">
        <v>202</v>
      </c>
      <c r="R49" s="22">
        <v>15.3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360.6</v>
      </c>
      <c r="AG49" s="27">
        <f>B49+C49-AF49</f>
        <v>599.6999999999999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158.70000000000005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0.09999999999999432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32.9</v>
      </c>
      <c r="U51" s="22">
        <f t="shared" si="11"/>
        <v>18.1</v>
      </c>
      <c r="V51" s="22">
        <f t="shared" si="11"/>
        <v>0.4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51.49999999999999</v>
      </c>
      <c r="AG51" s="27">
        <f>AG47-AG49-AG48</f>
        <v>107.20000000000016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>
        <v>158.8</v>
      </c>
      <c r="S52" s="26">
        <v>434.4</v>
      </c>
      <c r="T52" s="26">
        <v>321.9</v>
      </c>
      <c r="U52" s="26">
        <v>32</v>
      </c>
      <c r="V52" s="26">
        <v>1220.1</v>
      </c>
      <c r="W52" s="26">
        <v>1621.7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3788.8999999999996</v>
      </c>
      <c r="AG52" s="27">
        <f aca="true" t="shared" si="12" ref="AG52:AG59">B52+C52-AF52</f>
        <v>1802.8000000000002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>
        <v>69.1</v>
      </c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69.1</v>
      </c>
      <c r="AG53" s="27">
        <f t="shared" si="12"/>
        <v>1143.7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>
        <v>1839.2</v>
      </c>
      <c r="Q54" s="27">
        <v>34.8</v>
      </c>
      <c r="R54" s="22"/>
      <c r="S54" s="26">
        <v>165.7</v>
      </c>
      <c r="T54" s="26"/>
      <c r="U54" s="26">
        <v>1873.2</v>
      </c>
      <c r="V54" s="26">
        <v>1.3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3914.2000000000003</v>
      </c>
      <c r="AG54" s="22">
        <f t="shared" si="12"/>
        <v>821.1999999999994</v>
      </c>
      <c r="AH54" s="6"/>
    </row>
    <row r="55" spans="1:34" ht="15.75">
      <c r="A55" s="3" t="s">
        <v>5</v>
      </c>
      <c r="B55" s="22">
        <f>3618.4+26.5</f>
        <v>3644.9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>
        <v>1743.2</v>
      </c>
      <c r="Q55" s="27"/>
      <c r="R55" s="22"/>
      <c r="S55" s="26"/>
      <c r="T55" s="26"/>
      <c r="U55" s="26">
        <v>1833.7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3576.9</v>
      </c>
      <c r="AG55" s="22">
        <f t="shared" si="12"/>
        <v>68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307.6-25.5</f>
        <v>282.1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>
        <v>5.4</v>
      </c>
      <c r="V57" s="26">
        <v>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6.6000000000000005</v>
      </c>
      <c r="AG57" s="22">
        <f t="shared" si="12"/>
        <v>275.5</v>
      </c>
    </row>
    <row r="58" spans="1:33" ht="15.7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803.2999999999995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96</v>
      </c>
      <c r="Q60" s="22">
        <f t="shared" si="13"/>
        <v>34.8</v>
      </c>
      <c r="R60" s="22">
        <f t="shared" si="13"/>
        <v>0</v>
      </c>
      <c r="S60" s="22">
        <f t="shared" si="13"/>
        <v>165.7</v>
      </c>
      <c r="T60" s="22">
        <f t="shared" si="13"/>
        <v>0</v>
      </c>
      <c r="U60" s="22">
        <f t="shared" si="13"/>
        <v>34.1</v>
      </c>
      <c r="V60" s="22">
        <f t="shared" si="13"/>
        <v>0.10000000000000009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330.70000000000016</v>
      </c>
      <c r="AG60" s="22">
        <f>AG54-AG55-AG57-AG59-AG56-AG58</f>
        <v>472.59999999999934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>
        <v>29.1</v>
      </c>
      <c r="T61" s="26"/>
      <c r="U61" s="26">
        <v>22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51.1</v>
      </c>
      <c r="AG61" s="22">
        <f aca="true" t="shared" si="15" ref="AG61:AG67">B61+C61-AF61</f>
        <v>101.20000000000002</v>
      </c>
    </row>
    <row r="62" spans="1:33" ht="15" customHeight="1">
      <c r="A62" s="4" t="s">
        <v>11</v>
      </c>
      <c r="B62" s="22">
        <v>1933.8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>
        <v>475.9</v>
      </c>
      <c r="Q62" s="27"/>
      <c r="R62" s="22"/>
      <c r="S62" s="26">
        <v>7.8</v>
      </c>
      <c r="T62" s="26"/>
      <c r="U62" s="26">
        <v>935.8</v>
      </c>
      <c r="V62" s="26">
        <v>30.7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1450.2</v>
      </c>
      <c r="AG62" s="22">
        <f t="shared" si="15"/>
        <v>483.5999999999999</v>
      </c>
    </row>
    <row r="63" spans="1:34" ht="15.7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>
        <v>392.4</v>
      </c>
      <c r="Q63" s="27"/>
      <c r="R63" s="22"/>
      <c r="S63" s="26"/>
      <c r="T63" s="26"/>
      <c r="U63" s="26">
        <v>738.8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1131.1999999999998</v>
      </c>
      <c r="AG63" s="22">
        <f t="shared" si="15"/>
        <v>62.80000000000018</v>
      </c>
      <c r="AH63" s="64"/>
    </row>
    <row r="64" spans="1:34" ht="15.7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.7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.7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.75">
      <c r="A68" s="3" t="s">
        <v>23</v>
      </c>
      <c r="B68" s="22">
        <f aca="true" t="shared" si="16" ref="B68:AD68">B62-B63-B66-B67-B65-B64</f>
        <v>512.3999999999999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83.5</v>
      </c>
      <c r="Q68" s="22">
        <f t="shared" si="16"/>
        <v>0</v>
      </c>
      <c r="R68" s="22">
        <f t="shared" si="16"/>
        <v>0</v>
      </c>
      <c r="S68" s="22">
        <f t="shared" si="16"/>
        <v>7.8</v>
      </c>
      <c r="T68" s="22">
        <f t="shared" si="16"/>
        <v>0</v>
      </c>
      <c r="U68" s="22">
        <f t="shared" si="16"/>
        <v>197</v>
      </c>
      <c r="V68" s="22">
        <f t="shared" si="16"/>
        <v>30.7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319</v>
      </c>
      <c r="AG68" s="22">
        <f>AG62-AG63-AG66-AG67-AG65-AG64</f>
        <v>193.39999999999975</v>
      </c>
    </row>
    <row r="69" spans="1:33" ht="31.5">
      <c r="A69" s="4" t="s">
        <v>46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149</v>
      </c>
      <c r="T72" s="26">
        <v>85.5</v>
      </c>
      <c r="U72" s="26">
        <v>15</v>
      </c>
      <c r="V72" s="26">
        <v>3.2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252.7</v>
      </c>
      <c r="AG72" s="30">
        <f t="shared" si="17"/>
        <v>982.7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84.8</v>
      </c>
    </row>
    <row r="76" spans="1:33" s="11" customFormat="1" ht="15.75">
      <c r="A76" s="12" t="s">
        <v>49</v>
      </c>
      <c r="B76" s="22">
        <v>126.2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>
        <v>26</v>
      </c>
      <c r="O76" s="28"/>
      <c r="P76" s="28"/>
      <c r="Q76" s="31"/>
      <c r="R76" s="28"/>
      <c r="S76" s="29"/>
      <c r="T76" s="29">
        <v>59.9</v>
      </c>
      <c r="U76" s="28"/>
      <c r="V76" s="28"/>
      <c r="W76" s="28">
        <v>0.4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86.30000000000001</v>
      </c>
      <c r="AG76" s="30">
        <f t="shared" si="17"/>
        <v>39.89999999999999</v>
      </c>
    </row>
    <row r="77" spans="1:33" s="11" customFormat="1" ht="15.7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>
        <v>26</v>
      </c>
      <c r="O77" s="28"/>
      <c r="P77" s="28"/>
      <c r="Q77" s="31"/>
      <c r="R77" s="28"/>
      <c r="S77" s="29"/>
      <c r="T77" s="29">
        <v>59.9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85.9</v>
      </c>
      <c r="AG77" s="30">
        <f t="shared" si="17"/>
        <v>0.09999999999999432</v>
      </c>
    </row>
    <row r="78" spans="1:33" s="11" customFormat="1" ht="15.7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0.4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.75">
      <c r="A81" s="12" t="s">
        <v>50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>
        <v>68.9</v>
      </c>
      <c r="P89" s="22"/>
      <c r="Q89" s="22"/>
      <c r="R89" s="22"/>
      <c r="S89" s="26"/>
      <c r="T89" s="26"/>
      <c r="U89" s="22">
        <v>525.7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5363.399999999999</v>
      </c>
      <c r="AG89" s="22">
        <f t="shared" si="17"/>
        <v>137.40000000000146</v>
      </c>
      <c r="AH89" s="11"/>
    </row>
    <row r="90" spans="1:34" ht="15.75">
      <c r="A90" s="4" t="s">
        <v>52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.75">
      <c r="A92" s="4" t="s">
        <v>37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>
        <v>4905.7</v>
      </c>
      <c r="W92" s="22">
        <v>9487.9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14393.599999999999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152222.09999999998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250.6</v>
      </c>
      <c r="M94" s="42">
        <f t="shared" si="18"/>
        <v>301.70000000000005</v>
      </c>
      <c r="N94" s="42">
        <f t="shared" si="18"/>
        <v>32.9</v>
      </c>
      <c r="O94" s="42">
        <f t="shared" si="18"/>
        <v>21352.5</v>
      </c>
      <c r="P94" s="42">
        <f t="shared" si="18"/>
        <v>3395</v>
      </c>
      <c r="Q94" s="42">
        <f t="shared" si="18"/>
        <v>591.5</v>
      </c>
      <c r="R94" s="42">
        <f t="shared" si="18"/>
        <v>182.9</v>
      </c>
      <c r="S94" s="42">
        <f t="shared" si="18"/>
        <v>816.4999999999999</v>
      </c>
      <c r="T94" s="42">
        <f t="shared" si="18"/>
        <v>16806.9</v>
      </c>
      <c r="U94" s="42">
        <f t="shared" si="18"/>
        <v>31086.499999999996</v>
      </c>
      <c r="V94" s="42">
        <f t="shared" si="18"/>
        <v>8548.2</v>
      </c>
      <c r="W94" s="42">
        <f t="shared" si="18"/>
        <v>12355.9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103297.19999999998</v>
      </c>
      <c r="AG94" s="58">
        <f>AG10+AG15+AG24+AG33+AG47+AG52+AG54+AG61+AG62+AG69+AG71+AG72+AG76+AG81+AG82+AG83+AG88+AG89+AG90+AG91+AG70+AG40+AG92</f>
        <v>48924.9</v>
      </c>
    </row>
    <row r="95" spans="1:33" ht="15.75">
      <c r="A95" s="3" t="s">
        <v>5</v>
      </c>
      <c r="B95" s="22">
        <f aca="true" t="shared" si="19" ref="B95:AD95">B11+B17+B26+B34+B55+B63+B73+B41+B77+B48</f>
        <v>59515.799999999996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216.8</v>
      </c>
      <c r="M95" s="22">
        <f t="shared" si="19"/>
        <v>155</v>
      </c>
      <c r="N95" s="22">
        <f t="shared" si="19"/>
        <v>26</v>
      </c>
      <c r="O95" s="22">
        <f t="shared" si="19"/>
        <v>12945</v>
      </c>
      <c r="P95" s="22">
        <f t="shared" si="19"/>
        <v>2191.2</v>
      </c>
      <c r="Q95" s="22">
        <f t="shared" si="19"/>
        <v>0</v>
      </c>
      <c r="R95" s="22">
        <f t="shared" si="19"/>
        <v>0</v>
      </c>
      <c r="S95" s="22">
        <f t="shared" si="19"/>
        <v>15.6</v>
      </c>
      <c r="T95" s="22">
        <f t="shared" si="19"/>
        <v>16390.7</v>
      </c>
      <c r="U95" s="22">
        <f t="shared" si="19"/>
        <v>14104.099999999999</v>
      </c>
      <c r="V95" s="22">
        <f t="shared" si="19"/>
        <v>620.5</v>
      </c>
      <c r="W95" s="22">
        <f t="shared" si="19"/>
        <v>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48647.299999999996</v>
      </c>
      <c r="AG95" s="27">
        <f>B95+C95-AF95</f>
        <v>10868.5</v>
      </c>
    </row>
    <row r="96" spans="1:33" ht="15.75">
      <c r="A96" s="3" t="s">
        <v>2</v>
      </c>
      <c r="B96" s="22">
        <f aca="true" t="shared" si="20" ref="B96:AD96">B12+B20+B29+B36+B57+B66+B44+B80+B74+B53</f>
        <v>19452.900000000005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3.1</v>
      </c>
      <c r="R96" s="22">
        <f t="shared" si="20"/>
        <v>3.5</v>
      </c>
      <c r="S96" s="22">
        <f t="shared" si="20"/>
        <v>0</v>
      </c>
      <c r="T96" s="22">
        <f t="shared" si="20"/>
        <v>0</v>
      </c>
      <c r="U96" s="22">
        <f t="shared" si="20"/>
        <v>5.4</v>
      </c>
      <c r="V96" s="22">
        <f t="shared" si="20"/>
        <v>262.7</v>
      </c>
      <c r="W96" s="22">
        <f t="shared" si="20"/>
        <v>390.4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665.0999999999999</v>
      </c>
      <c r="AG96" s="27">
        <f>B96+C96-AF96</f>
        <v>18787.800000000007</v>
      </c>
    </row>
    <row r="97" spans="1:33" ht="15.75">
      <c r="A97" s="3" t="s">
        <v>3</v>
      </c>
      <c r="B97" s="22">
        <f aca="true" t="shared" si="21" ref="B97:AA97">B18+B27+B42+B64+B78</f>
        <v>4.6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4.6</v>
      </c>
    </row>
    <row r="98" spans="1:33" ht="15.75">
      <c r="A98" s="3" t="s">
        <v>1</v>
      </c>
      <c r="B98" s="22">
        <f aca="true" t="shared" si="22" ref="B98:AD98">B19+B28+B65+B35+B43+B56+B79</f>
        <v>2274.8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577.8</v>
      </c>
      <c r="P98" s="22">
        <f t="shared" si="22"/>
        <v>199.8</v>
      </c>
      <c r="Q98" s="22">
        <f t="shared" si="22"/>
        <v>74.7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2.9</v>
      </c>
      <c r="V98" s="22">
        <f t="shared" si="22"/>
        <v>214.2</v>
      </c>
      <c r="W98" s="22">
        <f t="shared" si="22"/>
        <v>13.4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1082.8</v>
      </c>
      <c r="AG98" s="27">
        <f>B98+C98-AF98</f>
        <v>1192.0000000000002</v>
      </c>
    </row>
    <row r="99" spans="1:33" ht="15.75">
      <c r="A99" s="3" t="s">
        <v>16</v>
      </c>
      <c r="B99" s="22">
        <f aca="true" t="shared" si="23" ref="B99:X99">B21+B30+B49+B37+B58+B13+B75+B67</f>
        <v>2383.9999999999995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139.3</v>
      </c>
      <c r="N99" s="22">
        <f t="shared" si="23"/>
        <v>4</v>
      </c>
      <c r="O99" s="22">
        <f t="shared" si="23"/>
        <v>0</v>
      </c>
      <c r="P99" s="22">
        <f t="shared" si="23"/>
        <v>0</v>
      </c>
      <c r="Q99" s="22">
        <f t="shared" si="23"/>
        <v>478.3</v>
      </c>
      <c r="R99" s="22">
        <f t="shared" si="23"/>
        <v>18.7</v>
      </c>
      <c r="S99" s="22">
        <f t="shared" si="23"/>
        <v>1.2</v>
      </c>
      <c r="T99" s="22">
        <f t="shared" si="23"/>
        <v>6.4</v>
      </c>
      <c r="U99" s="22">
        <f t="shared" si="23"/>
        <v>0</v>
      </c>
      <c r="V99" s="22">
        <f t="shared" si="23"/>
        <v>766.5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1414.4</v>
      </c>
      <c r="AG99" s="27">
        <f>B99+C99-AF99</f>
        <v>969.5999999999995</v>
      </c>
    </row>
    <row r="100" spans="1:33" ht="12.75">
      <c r="A100" s="1" t="s">
        <v>35</v>
      </c>
      <c r="B100" s="2">
        <f aca="true" t="shared" si="25" ref="B100:AD100">B94-B95-B96-B97-B98-B99</f>
        <v>68589.99999999997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33.79999999999998</v>
      </c>
      <c r="M100" s="2">
        <f t="shared" si="25"/>
        <v>7.400000000000034</v>
      </c>
      <c r="N100" s="2">
        <f t="shared" si="25"/>
        <v>2.8999999999999986</v>
      </c>
      <c r="O100" s="2">
        <f t="shared" si="25"/>
        <v>7829.7</v>
      </c>
      <c r="P100" s="2">
        <f t="shared" si="25"/>
        <v>1004.0000000000002</v>
      </c>
      <c r="Q100" s="2">
        <f t="shared" si="25"/>
        <v>35.39999999999992</v>
      </c>
      <c r="R100" s="2">
        <f t="shared" si="25"/>
        <v>160.70000000000002</v>
      </c>
      <c r="S100" s="2">
        <f t="shared" si="25"/>
        <v>799.6999999999998</v>
      </c>
      <c r="T100" s="2">
        <f t="shared" si="25"/>
        <v>409.80000000000075</v>
      </c>
      <c r="U100" s="2">
        <f t="shared" si="25"/>
        <v>16974.099999999995</v>
      </c>
      <c r="V100" s="2">
        <f t="shared" si="25"/>
        <v>6684.300000000001</v>
      </c>
      <c r="W100" s="2">
        <f t="shared" si="25"/>
        <v>11950.1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51487.599999999984</v>
      </c>
      <c r="AG100" s="2">
        <f>AG94-AG95-AG96-AG97-AG98-AG99</f>
        <v>17102.399999999998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55" sqref="R5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41354.1</v>
      </c>
      <c r="C7" s="72">
        <v>8419.2</v>
      </c>
      <c r="D7" s="45"/>
      <c r="E7" s="46">
        <v>20677</v>
      </c>
      <c r="F7" s="46"/>
      <c r="G7" s="46"/>
      <c r="H7" s="74"/>
      <c r="I7" s="46"/>
      <c r="J7" s="47"/>
      <c r="K7" s="46"/>
      <c r="L7" s="46"/>
      <c r="M7" s="46">
        <v>20677.1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13493.9</v>
      </c>
      <c r="AF7" s="72"/>
      <c r="AG7" s="48"/>
    </row>
    <row r="8" spans="1:55" ht="18" customHeight="1">
      <c r="A8" s="60" t="s">
        <v>30</v>
      </c>
      <c r="B8" s="40">
        <f>SUM(D8:AB8)</f>
        <v>103008.29999999997</v>
      </c>
      <c r="C8" s="40">
        <v>58505</v>
      </c>
      <c r="D8" s="43">
        <v>9271.6</v>
      </c>
      <c r="E8" s="55">
        <v>4080.1</v>
      </c>
      <c r="F8" s="55">
        <v>2135.2</v>
      </c>
      <c r="G8" s="55">
        <v>3148.6</v>
      </c>
      <c r="H8" s="55">
        <v>6442.6</v>
      </c>
      <c r="I8" s="55">
        <v>8205.4</v>
      </c>
      <c r="J8" s="56">
        <v>3215.2</v>
      </c>
      <c r="K8" s="55">
        <v>3682.8</v>
      </c>
      <c r="L8" s="55">
        <v>3046.2</v>
      </c>
      <c r="M8" s="55">
        <v>2987.9</v>
      </c>
      <c r="N8" s="55">
        <v>6127.1</v>
      </c>
      <c r="O8" s="55">
        <v>6216.7</v>
      </c>
      <c r="P8" s="55">
        <v>4962.8</v>
      </c>
      <c r="Q8" s="55">
        <v>7900.9</v>
      </c>
      <c r="R8" s="55">
        <v>4687.9</v>
      </c>
      <c r="S8" s="57">
        <v>4141</v>
      </c>
      <c r="T8" s="57">
        <v>4980.5</v>
      </c>
      <c r="U8" s="55">
        <v>3227.7</v>
      </c>
      <c r="V8" s="55">
        <v>4206.9</v>
      </c>
      <c r="W8" s="55">
        <v>10341.2</v>
      </c>
      <c r="X8" s="56"/>
      <c r="Y8" s="56"/>
      <c r="Z8" s="56"/>
      <c r="AA8" s="56"/>
      <c r="AB8" s="55"/>
      <c r="AC8" s="23"/>
      <c r="AD8" s="23"/>
      <c r="AE8" s="61">
        <v>66186.9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142954.99999999997</v>
      </c>
      <c r="C9" s="24">
        <f t="shared" si="0"/>
        <v>48924.90000000001</v>
      </c>
      <c r="D9" s="24">
        <f t="shared" si="0"/>
        <v>43.5</v>
      </c>
      <c r="E9" s="24">
        <f t="shared" si="0"/>
        <v>206.60000000000002</v>
      </c>
      <c r="F9" s="24">
        <f t="shared" si="0"/>
        <v>1955.6</v>
      </c>
      <c r="G9" s="24">
        <f t="shared" si="0"/>
        <v>1621.7</v>
      </c>
      <c r="H9" s="24">
        <f t="shared" si="0"/>
        <v>1352.3000000000002</v>
      </c>
      <c r="I9" s="24">
        <f t="shared" si="0"/>
        <v>0</v>
      </c>
      <c r="J9" s="24">
        <f t="shared" si="0"/>
        <v>2547.4999999999995</v>
      </c>
      <c r="K9" s="24">
        <f t="shared" si="0"/>
        <v>2400.2999999999997</v>
      </c>
      <c r="L9" s="24">
        <f t="shared" si="0"/>
        <v>11390.699999999997</v>
      </c>
      <c r="M9" s="24">
        <f t="shared" si="0"/>
        <v>20013.200000000004</v>
      </c>
      <c r="N9" s="24">
        <f t="shared" si="0"/>
        <v>1317.1000000000001</v>
      </c>
      <c r="O9" s="24">
        <f t="shared" si="0"/>
        <v>4780.8</v>
      </c>
      <c r="P9" s="24">
        <f t="shared" si="0"/>
        <v>1125.3</v>
      </c>
      <c r="Q9" s="24">
        <f t="shared" si="0"/>
        <v>8573.2</v>
      </c>
      <c r="R9" s="24">
        <f t="shared" si="0"/>
        <v>4610.299999999999</v>
      </c>
      <c r="S9" s="24">
        <f t="shared" si="0"/>
        <v>2304.3000000000006</v>
      </c>
      <c r="T9" s="24">
        <f t="shared" si="0"/>
        <v>14989.5</v>
      </c>
      <c r="U9" s="24">
        <f t="shared" si="0"/>
        <v>36113.5</v>
      </c>
      <c r="V9" s="24">
        <f t="shared" si="0"/>
        <v>6378.000000000001</v>
      </c>
      <c r="W9" s="24">
        <f t="shared" si="0"/>
        <v>9882.4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131605.80000000002</v>
      </c>
      <c r="AG9" s="50">
        <f>AG10+AG15+AG24+AG33+AG47+AG52+AG54+AG61+AG62+AG71+AG72+AG76+AG88+AG81+AG83+AG82+AG69+AG89+AG91+AG90+AG70+AG40+AG92</f>
        <v>60274.09999999999</v>
      </c>
      <c r="AH9" s="49"/>
      <c r="AI9" s="49"/>
    </row>
    <row r="10" spans="1:33" ht="15.75">
      <c r="A10" s="4" t="s">
        <v>4</v>
      </c>
      <c r="B10" s="22">
        <v>14061.4</v>
      </c>
      <c r="C10" s="22">
        <v>7328.2</v>
      </c>
      <c r="D10" s="22"/>
      <c r="E10" s="22">
        <v>22.6</v>
      </c>
      <c r="F10" s="22">
        <v>23.3</v>
      </c>
      <c r="G10" s="22">
        <v>36.4</v>
      </c>
      <c r="H10" s="22">
        <v>60.9</v>
      </c>
      <c r="I10" s="22"/>
      <c r="J10" s="25">
        <v>22</v>
      </c>
      <c r="K10" s="22">
        <v>815.8</v>
      </c>
      <c r="L10" s="22">
        <v>1474.1</v>
      </c>
      <c r="M10" s="22">
        <v>412</v>
      </c>
      <c r="N10" s="22">
        <v>20.4</v>
      </c>
      <c r="O10" s="27">
        <v>54.9</v>
      </c>
      <c r="P10" s="22">
        <v>18.9</v>
      </c>
      <c r="Q10" s="22">
        <v>21.9</v>
      </c>
      <c r="R10" s="22">
        <v>0.1</v>
      </c>
      <c r="S10" s="26">
        <v>15.6</v>
      </c>
      <c r="T10" s="26">
        <v>311.1</v>
      </c>
      <c r="U10" s="26">
        <v>1694.5</v>
      </c>
      <c r="V10" s="26">
        <v>1935.1</v>
      </c>
      <c r="W10" s="26">
        <v>26.3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6965.900000000001</v>
      </c>
      <c r="AG10" s="27">
        <f>B10+C10-AF10</f>
        <v>14423.699999999997</v>
      </c>
    </row>
    <row r="11" spans="1:33" ht="15.75">
      <c r="A11" s="3" t="s">
        <v>5</v>
      </c>
      <c r="B11" s="22">
        <f>12893.1-10-25.7</f>
        <v>12857.4</v>
      </c>
      <c r="C11" s="22">
        <v>6467.5</v>
      </c>
      <c r="D11" s="22"/>
      <c r="E11" s="22"/>
      <c r="F11" s="22"/>
      <c r="G11" s="22">
        <v>34.8</v>
      </c>
      <c r="H11" s="22">
        <v>60.4</v>
      </c>
      <c r="I11" s="22"/>
      <c r="J11" s="26"/>
      <c r="K11" s="22">
        <v>677.1</v>
      </c>
      <c r="L11" s="22">
        <v>1434.4</v>
      </c>
      <c r="M11" s="22">
        <v>388.2</v>
      </c>
      <c r="N11" s="22">
        <v>14.5</v>
      </c>
      <c r="O11" s="27">
        <v>46.2</v>
      </c>
      <c r="P11" s="22"/>
      <c r="Q11" s="22"/>
      <c r="R11" s="22">
        <v>0.1</v>
      </c>
      <c r="S11" s="26"/>
      <c r="T11" s="26">
        <v>225.9</v>
      </c>
      <c r="U11" s="26">
        <v>1690.4</v>
      </c>
      <c r="V11" s="26">
        <v>1880.4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6452.4</v>
      </c>
      <c r="AG11" s="27">
        <f>B11+C11-AF11</f>
        <v>12872.500000000002</v>
      </c>
    </row>
    <row r="12" spans="1:33" ht="15.75">
      <c r="A12" s="3" t="s">
        <v>2</v>
      </c>
      <c r="B12" s="36">
        <v>405.8</v>
      </c>
      <c r="C12" s="22">
        <v>357.4</v>
      </c>
      <c r="D12" s="22"/>
      <c r="E12" s="22"/>
      <c r="F12" s="22">
        <v>5.1</v>
      </c>
      <c r="G12" s="22"/>
      <c r="H12" s="22"/>
      <c r="I12" s="22"/>
      <c r="J12" s="26"/>
      <c r="K12" s="22"/>
      <c r="L12" s="22">
        <v>5</v>
      </c>
      <c r="M12" s="22">
        <v>1.3</v>
      </c>
      <c r="N12" s="22"/>
      <c r="O12" s="27"/>
      <c r="P12" s="22"/>
      <c r="Q12" s="22"/>
      <c r="R12" s="22"/>
      <c r="S12" s="26"/>
      <c r="T12" s="26"/>
      <c r="U12" s="26"/>
      <c r="V12" s="26">
        <v>22.8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34.2</v>
      </c>
      <c r="AG12" s="27">
        <f>B12+C12-AF12</f>
        <v>729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>B10-B11-B12</f>
        <v>798.2</v>
      </c>
      <c r="C14" s="22">
        <f aca="true" t="shared" si="2" ref="C14:AD14">C10-C11-C12</f>
        <v>503.29999999999984</v>
      </c>
      <c r="D14" s="22">
        <f t="shared" si="2"/>
        <v>0</v>
      </c>
      <c r="E14" s="22">
        <f t="shared" si="2"/>
        <v>22.6</v>
      </c>
      <c r="F14" s="22">
        <f t="shared" si="2"/>
        <v>18.200000000000003</v>
      </c>
      <c r="G14" s="22">
        <f t="shared" si="2"/>
        <v>1.6000000000000014</v>
      </c>
      <c r="H14" s="22">
        <f>H10-H11-H12</f>
        <v>0.5</v>
      </c>
      <c r="I14" s="22">
        <f t="shared" si="2"/>
        <v>0</v>
      </c>
      <c r="J14" s="22">
        <f t="shared" si="2"/>
        <v>22</v>
      </c>
      <c r="K14" s="22">
        <f t="shared" si="2"/>
        <v>138.69999999999993</v>
      </c>
      <c r="L14" s="22">
        <f t="shared" si="2"/>
        <v>34.69999999999982</v>
      </c>
      <c r="M14" s="22">
        <f t="shared" si="2"/>
        <v>22.50000000000001</v>
      </c>
      <c r="N14" s="22">
        <f t="shared" si="2"/>
        <v>5.899999999999999</v>
      </c>
      <c r="O14" s="22">
        <f t="shared" si="2"/>
        <v>8.699999999999996</v>
      </c>
      <c r="P14" s="22">
        <f t="shared" si="2"/>
        <v>18.9</v>
      </c>
      <c r="Q14" s="22">
        <f t="shared" si="2"/>
        <v>21.9</v>
      </c>
      <c r="R14" s="22">
        <f t="shared" si="2"/>
        <v>0</v>
      </c>
      <c r="S14" s="22">
        <f t="shared" si="2"/>
        <v>15.6</v>
      </c>
      <c r="T14" s="22">
        <f t="shared" si="2"/>
        <v>85.20000000000002</v>
      </c>
      <c r="U14" s="22">
        <f t="shared" si="2"/>
        <v>4.099999999999909</v>
      </c>
      <c r="V14" s="22">
        <f t="shared" si="2"/>
        <v>31.899999999999817</v>
      </c>
      <c r="W14" s="22">
        <f t="shared" si="2"/>
        <v>26.3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479.2999999999995</v>
      </c>
      <c r="AG14" s="27">
        <f>AG10-AG11-AG12-AG13</f>
        <v>822.1999999999953</v>
      </c>
    </row>
    <row r="15" spans="1:33" ht="15" customHeight="1">
      <c r="A15" s="4" t="s">
        <v>6</v>
      </c>
      <c r="B15" s="22">
        <f>59208.2-3139.9+50-253.7-0.3</f>
        <v>55864.299999999996</v>
      </c>
      <c r="C15" s="22">
        <v>22192</v>
      </c>
      <c r="D15" s="44">
        <v>43.4</v>
      </c>
      <c r="E15" s="44">
        <v>23</v>
      </c>
      <c r="F15" s="22"/>
      <c r="G15" s="22">
        <v>194.4</v>
      </c>
      <c r="H15" s="22">
        <v>502.3</v>
      </c>
      <c r="I15" s="22"/>
      <c r="J15" s="26"/>
      <c r="K15" s="22"/>
      <c r="L15" s="22">
        <v>461.6</v>
      </c>
      <c r="M15" s="22">
        <v>16471.9</v>
      </c>
      <c r="N15" s="22"/>
      <c r="O15" s="27"/>
      <c r="P15" s="22">
        <v>946.1</v>
      </c>
      <c r="Q15" s="27">
        <v>4113.7</v>
      </c>
      <c r="R15" s="22">
        <v>1906.3</v>
      </c>
      <c r="S15" s="26">
        <v>1145.7</v>
      </c>
      <c r="T15" s="26">
        <v>13071.9</v>
      </c>
      <c r="U15" s="26">
        <v>14499.5</v>
      </c>
      <c r="V15" s="26">
        <v>2217</v>
      </c>
      <c r="W15" s="26">
        <v>39.1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55635.9</v>
      </c>
      <c r="AG15" s="27">
        <f aca="true" t="shared" si="3" ref="AG15:AG31">B15+C15-AF15</f>
        <v>22420.399999999987</v>
      </c>
    </row>
    <row r="16" spans="1:34" s="70" customFormat="1" ht="15" customHeight="1">
      <c r="A16" s="65" t="s">
        <v>38</v>
      </c>
      <c r="B16" s="66">
        <f>20273.8-3139.9-0.1</f>
        <v>17133.8</v>
      </c>
      <c r="C16" s="66">
        <v>2349.6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8073.8</v>
      </c>
      <c r="N16" s="66"/>
      <c r="O16" s="69"/>
      <c r="P16" s="66"/>
      <c r="Q16" s="69"/>
      <c r="R16" s="66"/>
      <c r="S16" s="68"/>
      <c r="T16" s="68">
        <v>9792.3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17866.1</v>
      </c>
      <c r="AG16" s="71">
        <f t="shared" si="3"/>
        <v>1617.2999999999993</v>
      </c>
      <c r="AH16" s="75"/>
    </row>
    <row r="17" spans="1:34" ht="15.75">
      <c r="A17" s="3" t="s">
        <v>5</v>
      </c>
      <c r="B17" s="22">
        <f>40923.2-3139.9+510</f>
        <v>38293.299999999996</v>
      </c>
      <c r="C17" s="22">
        <v>4126.3</v>
      </c>
      <c r="D17" s="22"/>
      <c r="E17" s="22"/>
      <c r="F17" s="22"/>
      <c r="G17" s="22"/>
      <c r="H17" s="22">
        <v>7</v>
      </c>
      <c r="I17" s="22"/>
      <c r="J17" s="26"/>
      <c r="K17" s="22"/>
      <c r="L17" s="22"/>
      <c r="M17" s="22">
        <v>16015</v>
      </c>
      <c r="N17" s="22"/>
      <c r="O17" s="27"/>
      <c r="P17" s="22"/>
      <c r="Q17" s="27"/>
      <c r="R17" s="22"/>
      <c r="S17" s="26"/>
      <c r="T17" s="26">
        <v>13071.9</v>
      </c>
      <c r="U17" s="26">
        <v>6973.3</v>
      </c>
      <c r="V17" s="26">
        <v>1906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37973.200000000004</v>
      </c>
      <c r="AG17" s="27">
        <f t="shared" si="3"/>
        <v>4446.399999999994</v>
      </c>
      <c r="AH17" s="6"/>
    </row>
    <row r="18" spans="1:33" ht="15.75">
      <c r="A18" s="3" t="s">
        <v>3</v>
      </c>
      <c r="B18" s="22">
        <v>0.9</v>
      </c>
      <c r="C18" s="22">
        <v>4.6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5.5</v>
      </c>
    </row>
    <row r="19" spans="1:33" ht="15.75">
      <c r="A19" s="3" t="s">
        <v>1</v>
      </c>
      <c r="B19" s="22">
        <f>3100.6-180.5</f>
        <v>2920.1</v>
      </c>
      <c r="C19" s="22">
        <v>1141.5</v>
      </c>
      <c r="D19" s="22">
        <v>43.4</v>
      </c>
      <c r="E19" s="22">
        <v>23</v>
      </c>
      <c r="F19" s="22"/>
      <c r="G19" s="22">
        <v>50.5</v>
      </c>
      <c r="H19" s="22">
        <v>482.2</v>
      </c>
      <c r="I19" s="22"/>
      <c r="J19" s="26"/>
      <c r="K19" s="22"/>
      <c r="L19" s="22">
        <v>461.6</v>
      </c>
      <c r="M19" s="22">
        <v>80.5</v>
      </c>
      <c r="N19" s="22"/>
      <c r="O19" s="27"/>
      <c r="P19" s="22">
        <v>165.5</v>
      </c>
      <c r="Q19" s="27">
        <v>636</v>
      </c>
      <c r="R19" s="22"/>
      <c r="S19" s="26">
        <v>126.3</v>
      </c>
      <c r="T19" s="26"/>
      <c r="U19" s="26">
        <v>890.8</v>
      </c>
      <c r="V19" s="26">
        <v>56.1</v>
      </c>
      <c r="W19" s="26">
        <v>6.4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3022.3</v>
      </c>
      <c r="AG19" s="27">
        <f t="shared" si="3"/>
        <v>1039.2999999999997</v>
      </c>
    </row>
    <row r="20" spans="1:33" ht="15.75">
      <c r="A20" s="3" t="s">
        <v>2</v>
      </c>
      <c r="B20" s="22">
        <f>12954.8-19.9-49.8-510</f>
        <v>12375.1</v>
      </c>
      <c r="C20" s="22">
        <v>16253.5</v>
      </c>
      <c r="D20" s="22"/>
      <c r="E20" s="22"/>
      <c r="F20" s="22"/>
      <c r="G20" s="22">
        <v>142.7</v>
      </c>
      <c r="H20" s="22">
        <v>13.1</v>
      </c>
      <c r="I20" s="22"/>
      <c r="J20" s="26"/>
      <c r="K20" s="22"/>
      <c r="L20" s="22"/>
      <c r="M20" s="22">
        <v>169.2</v>
      </c>
      <c r="N20" s="22"/>
      <c r="O20" s="27"/>
      <c r="P20" s="22">
        <v>704.4</v>
      </c>
      <c r="Q20" s="27">
        <v>3378.9</v>
      </c>
      <c r="R20" s="22">
        <v>1906.3</v>
      </c>
      <c r="S20" s="26">
        <v>468.5</v>
      </c>
      <c r="T20" s="26"/>
      <c r="U20" s="26">
        <v>6301.9</v>
      </c>
      <c r="V20" s="26">
        <v>20.7</v>
      </c>
      <c r="W20" s="26">
        <v>31.8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13137.5</v>
      </c>
      <c r="AG20" s="27">
        <f t="shared" si="3"/>
        <v>15491.099999999999</v>
      </c>
    </row>
    <row r="21" spans="1:33" ht="15.75">
      <c r="A21" s="3" t="s">
        <v>16</v>
      </c>
      <c r="B21" s="22">
        <f>1294.2-73.2</f>
        <v>1221</v>
      </c>
      <c r="C21" s="22">
        <v>236.8</v>
      </c>
      <c r="D21" s="22"/>
      <c r="E21" s="22"/>
      <c r="F21" s="22"/>
      <c r="G21" s="22">
        <v>1.2</v>
      </c>
      <c r="H21" s="22"/>
      <c r="I21" s="22"/>
      <c r="J21" s="26"/>
      <c r="K21" s="22"/>
      <c r="L21" s="22"/>
      <c r="M21" s="22">
        <v>207.2</v>
      </c>
      <c r="N21" s="22"/>
      <c r="O21" s="27"/>
      <c r="P21" s="22"/>
      <c r="Q21" s="27"/>
      <c r="R21" s="22"/>
      <c r="S21" s="26">
        <v>488.1</v>
      </c>
      <c r="T21" s="26"/>
      <c r="U21" s="22">
        <v>284.1</v>
      </c>
      <c r="V21" s="22">
        <v>207.8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1188.4</v>
      </c>
      <c r="AG21" s="27">
        <f t="shared" si="3"/>
        <v>269.39999999999986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1053.8999999999978</v>
      </c>
      <c r="C23" s="22">
        <f t="shared" si="4"/>
        <v>429.30000000000217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1.709743457922741E-14</v>
      </c>
      <c r="H23" s="22">
        <f t="shared" si="4"/>
        <v>2.3092638912203256E-14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1.4779288903810084E-12</v>
      </c>
      <c r="N23" s="22">
        <f t="shared" si="4"/>
        <v>0</v>
      </c>
      <c r="O23" s="22">
        <f t="shared" si="4"/>
        <v>0</v>
      </c>
      <c r="P23" s="22">
        <f t="shared" si="4"/>
        <v>76.20000000000005</v>
      </c>
      <c r="Q23" s="22">
        <f t="shared" si="4"/>
        <v>98.79999999999973</v>
      </c>
      <c r="R23" s="22">
        <f t="shared" si="4"/>
        <v>0</v>
      </c>
      <c r="S23" s="22">
        <f t="shared" si="4"/>
        <v>62.80000000000007</v>
      </c>
      <c r="T23" s="22">
        <f t="shared" si="4"/>
        <v>0</v>
      </c>
      <c r="U23" s="22">
        <f t="shared" si="4"/>
        <v>49.39999999999998</v>
      </c>
      <c r="V23" s="22">
        <f t="shared" si="4"/>
        <v>26.400000000000006</v>
      </c>
      <c r="W23" s="22">
        <f t="shared" si="4"/>
        <v>0.9000000000000021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314.50000000000136</v>
      </c>
      <c r="AG23" s="27">
        <f t="shared" si="3"/>
        <v>1168.6999999999987</v>
      </c>
    </row>
    <row r="24" spans="1:33" ht="15" customHeight="1">
      <c r="A24" s="4" t="s">
        <v>7</v>
      </c>
      <c r="B24" s="22">
        <f>32582-23.4+600</f>
        <v>33158.6</v>
      </c>
      <c r="C24" s="22">
        <v>8646.7</v>
      </c>
      <c r="D24" s="22"/>
      <c r="E24" s="22"/>
      <c r="F24" s="22"/>
      <c r="G24" s="22">
        <v>337.2</v>
      </c>
      <c r="H24" s="22"/>
      <c r="I24" s="22"/>
      <c r="J24" s="26">
        <v>206.3</v>
      </c>
      <c r="K24" s="22"/>
      <c r="L24" s="22">
        <v>9326.4</v>
      </c>
      <c r="M24" s="22">
        <v>708.9</v>
      </c>
      <c r="N24" s="22">
        <v>873</v>
      </c>
      <c r="O24" s="27">
        <v>242.1</v>
      </c>
      <c r="P24" s="22"/>
      <c r="Q24" s="27">
        <v>3327.1</v>
      </c>
      <c r="R24" s="27"/>
      <c r="S24" s="26">
        <v>2.3</v>
      </c>
      <c r="T24" s="26"/>
      <c r="U24" s="26">
        <v>17653.4</v>
      </c>
      <c r="V24" s="26">
        <v>33.8</v>
      </c>
      <c r="W24" s="26">
        <f>29.4-31.5</f>
        <v>-2.1000000000000014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32708.4</v>
      </c>
      <c r="AG24" s="27">
        <f t="shared" si="3"/>
        <v>9096.900000000001</v>
      </c>
    </row>
    <row r="25" spans="1:34" s="70" customFormat="1" ht="15" customHeight="1">
      <c r="A25" s="65" t="s">
        <v>39</v>
      </c>
      <c r="B25" s="66">
        <f>19854.2-23.4</f>
        <v>19830.8</v>
      </c>
      <c r="C25" s="66">
        <v>3383.1</v>
      </c>
      <c r="D25" s="66"/>
      <c r="E25" s="66"/>
      <c r="F25" s="66"/>
      <c r="G25" s="66">
        <v>287.3</v>
      </c>
      <c r="H25" s="66"/>
      <c r="I25" s="66"/>
      <c r="J25" s="68"/>
      <c r="K25" s="66"/>
      <c r="L25" s="66">
        <v>8839.2</v>
      </c>
      <c r="M25" s="66">
        <v>63.1</v>
      </c>
      <c r="N25" s="66"/>
      <c r="O25" s="69">
        <v>167.7</v>
      </c>
      <c r="P25" s="66"/>
      <c r="Q25" s="69">
        <v>672.4</v>
      </c>
      <c r="R25" s="69"/>
      <c r="S25" s="68">
        <v>2.3</v>
      </c>
      <c r="T25" s="68"/>
      <c r="U25" s="68">
        <v>8064</v>
      </c>
      <c r="V25" s="68">
        <v>287.9</v>
      </c>
      <c r="W25" s="68">
        <v>29.4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18413.300000000003</v>
      </c>
      <c r="AG25" s="71">
        <f t="shared" si="3"/>
        <v>4800.599999999995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33158.6</v>
      </c>
      <c r="C32" s="22">
        <f aca="true" t="shared" si="5" ref="C32:AD32">C24-C26-C27-C28-C29-C30-C31</f>
        <v>8646.7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337.2</v>
      </c>
      <c r="H32" s="22">
        <f t="shared" si="5"/>
        <v>0</v>
      </c>
      <c r="I32" s="22">
        <f t="shared" si="5"/>
        <v>0</v>
      </c>
      <c r="J32" s="22">
        <f t="shared" si="5"/>
        <v>206.3</v>
      </c>
      <c r="K32" s="22">
        <f t="shared" si="5"/>
        <v>0</v>
      </c>
      <c r="L32" s="22">
        <f t="shared" si="5"/>
        <v>9326.4</v>
      </c>
      <c r="M32" s="22">
        <f t="shared" si="5"/>
        <v>708.9</v>
      </c>
      <c r="N32" s="22">
        <f t="shared" si="5"/>
        <v>873</v>
      </c>
      <c r="O32" s="22">
        <f t="shared" si="5"/>
        <v>242.1</v>
      </c>
      <c r="P32" s="22">
        <f t="shared" si="5"/>
        <v>0</v>
      </c>
      <c r="Q32" s="22">
        <f t="shared" si="5"/>
        <v>3327.1</v>
      </c>
      <c r="R32" s="22">
        <f t="shared" si="5"/>
        <v>0</v>
      </c>
      <c r="S32" s="22">
        <f t="shared" si="5"/>
        <v>2.3</v>
      </c>
      <c r="T32" s="22">
        <f t="shared" si="5"/>
        <v>0</v>
      </c>
      <c r="U32" s="22">
        <f t="shared" si="5"/>
        <v>17653.4</v>
      </c>
      <c r="V32" s="22">
        <f t="shared" si="5"/>
        <v>33.8</v>
      </c>
      <c r="W32" s="22">
        <f t="shared" si="5"/>
        <v>-2.1000000000000014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32708.4</v>
      </c>
      <c r="AG32" s="27">
        <f>AG24</f>
        <v>9096.900000000001</v>
      </c>
    </row>
    <row r="33" spans="1:33" ht="15" customHeight="1">
      <c r="A33" s="4" t="s">
        <v>8</v>
      </c>
      <c r="B33" s="22">
        <f>313.1+200-0.1</f>
        <v>513</v>
      </c>
      <c r="C33" s="22">
        <v>115</v>
      </c>
      <c r="D33" s="22"/>
      <c r="E33" s="22"/>
      <c r="F33" s="22"/>
      <c r="G33" s="22"/>
      <c r="H33" s="22">
        <v>0.4</v>
      </c>
      <c r="I33" s="22"/>
      <c r="J33" s="26"/>
      <c r="K33" s="22"/>
      <c r="L33" s="22"/>
      <c r="M33" s="22">
        <v>60.8</v>
      </c>
      <c r="N33" s="22">
        <v>0.4</v>
      </c>
      <c r="O33" s="27"/>
      <c r="P33" s="22"/>
      <c r="Q33" s="27"/>
      <c r="R33" s="22"/>
      <c r="S33" s="26"/>
      <c r="T33" s="26"/>
      <c r="U33" s="26">
        <v>59.3</v>
      </c>
      <c r="V33" s="26">
        <v>73.6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194.5</v>
      </c>
      <c r="AG33" s="27">
        <f aca="true" t="shared" si="6" ref="AG33:AG38">B33+C33-AF33</f>
        <v>433.5</v>
      </c>
    </row>
    <row r="34" spans="1:33" ht="15.75">
      <c r="A34" s="3" t="s">
        <v>5</v>
      </c>
      <c r="B34" s="22">
        <v>235.6</v>
      </c>
      <c r="C34" s="22">
        <v>33.4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60.8</v>
      </c>
      <c r="N34" s="22"/>
      <c r="O34" s="22"/>
      <c r="P34" s="22"/>
      <c r="Q34" s="27"/>
      <c r="R34" s="22"/>
      <c r="S34" s="26"/>
      <c r="T34" s="26"/>
      <c r="U34" s="26">
        <v>59.3</v>
      </c>
      <c r="V34" s="26">
        <v>73.6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193.7</v>
      </c>
      <c r="AG34" s="27">
        <f t="shared" si="6"/>
        <v>75.30000000000001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73.5</v>
      </c>
      <c r="C36" s="22">
        <v>80.5</v>
      </c>
      <c r="D36" s="22"/>
      <c r="E36" s="22"/>
      <c r="F36" s="22"/>
      <c r="G36" s="22"/>
      <c r="H36" s="22">
        <v>0.4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153.6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203.89999999999998</v>
      </c>
      <c r="C39" s="22">
        <f t="shared" si="7"/>
        <v>1.0999999999999943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0.4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0.4</v>
      </c>
      <c r="AG39" s="27">
        <f>AG33-AG34-AG36-AG38-AG35-AG37</f>
        <v>204.6</v>
      </c>
    </row>
    <row r="40" spans="1:33" ht="15" customHeight="1">
      <c r="A40" s="4" t="s">
        <v>29</v>
      </c>
      <c r="B40" s="22">
        <v>1062.3</v>
      </c>
      <c r="C40" s="22">
        <v>250.8</v>
      </c>
      <c r="D40" s="22"/>
      <c r="E40" s="22"/>
      <c r="F40" s="22"/>
      <c r="G40" s="22">
        <v>6</v>
      </c>
      <c r="H40" s="22"/>
      <c r="I40" s="22"/>
      <c r="J40" s="26">
        <v>17.2</v>
      </c>
      <c r="K40" s="22">
        <v>314.1</v>
      </c>
      <c r="L40" s="22"/>
      <c r="M40" s="22">
        <v>59.3</v>
      </c>
      <c r="N40" s="22">
        <v>95.2</v>
      </c>
      <c r="O40" s="27"/>
      <c r="P40" s="22">
        <v>2.2</v>
      </c>
      <c r="Q40" s="27"/>
      <c r="R40" s="27"/>
      <c r="S40" s="26"/>
      <c r="T40" s="26"/>
      <c r="U40" s="26">
        <v>579</v>
      </c>
      <c r="V40" s="26">
        <v>1.8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1074.8</v>
      </c>
      <c r="AG40" s="27">
        <f aca="true" t="shared" si="8" ref="AG40:AG45">B40+C40-AF40</f>
        <v>238.29999999999995</v>
      </c>
    </row>
    <row r="41" spans="1:34" ht="15.75">
      <c r="A41" s="3" t="s">
        <v>5</v>
      </c>
      <c r="B41" s="22">
        <v>847.5</v>
      </c>
      <c r="C41" s="22">
        <v>110.4</v>
      </c>
      <c r="D41" s="22"/>
      <c r="E41" s="22"/>
      <c r="F41" s="22"/>
      <c r="G41" s="22"/>
      <c r="H41" s="22"/>
      <c r="I41" s="22"/>
      <c r="J41" s="26"/>
      <c r="K41" s="22">
        <v>314.1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572.1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886.2</v>
      </c>
      <c r="AG41" s="27">
        <f t="shared" si="8"/>
        <v>71.69999999999993</v>
      </c>
      <c r="AH41" s="6"/>
    </row>
    <row r="42" spans="1:33" ht="15.75">
      <c r="A42" s="3" t="s">
        <v>3</v>
      </c>
      <c r="B42" s="22">
        <v>0.5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0.5</v>
      </c>
    </row>
    <row r="43" spans="1:33" ht="15.75">
      <c r="A43" s="3" t="s">
        <v>1</v>
      </c>
      <c r="B43" s="22">
        <v>8.2</v>
      </c>
      <c r="C43" s="22">
        <v>0</v>
      </c>
      <c r="D43" s="22"/>
      <c r="E43" s="22"/>
      <c r="F43" s="22"/>
      <c r="G43" s="22"/>
      <c r="H43" s="22"/>
      <c r="I43" s="22"/>
      <c r="J43" s="26">
        <v>5.4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5.4</v>
      </c>
      <c r="AG43" s="27">
        <f t="shared" si="8"/>
        <v>2.799999999999999</v>
      </c>
    </row>
    <row r="44" spans="1:33" ht="15.75">
      <c r="A44" s="3" t="s">
        <v>2</v>
      </c>
      <c r="B44" s="22">
        <v>178.3</v>
      </c>
      <c r="C44" s="22">
        <v>132.3</v>
      </c>
      <c r="D44" s="22"/>
      <c r="E44" s="22"/>
      <c r="F44" s="22"/>
      <c r="G44" s="22">
        <v>1</v>
      </c>
      <c r="H44" s="22"/>
      <c r="I44" s="22"/>
      <c r="J44" s="26">
        <v>0.7</v>
      </c>
      <c r="K44" s="22"/>
      <c r="L44" s="22"/>
      <c r="M44" s="22">
        <v>59.3</v>
      </c>
      <c r="N44" s="22">
        <v>95.2</v>
      </c>
      <c r="O44" s="27"/>
      <c r="P44" s="22">
        <v>2.2</v>
      </c>
      <c r="Q44" s="22"/>
      <c r="R44" s="22"/>
      <c r="S44" s="26"/>
      <c r="T44" s="26"/>
      <c r="U44" s="26">
        <v>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164.39999999999998</v>
      </c>
      <c r="AG44" s="27">
        <f t="shared" si="8"/>
        <v>146.20000000000005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27.799999999999955</v>
      </c>
      <c r="C46" s="22">
        <f t="shared" si="10"/>
        <v>8.099999999999994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5</v>
      </c>
      <c r="H46" s="22">
        <f t="shared" si="10"/>
        <v>0</v>
      </c>
      <c r="I46" s="22">
        <f t="shared" si="10"/>
        <v>0</v>
      </c>
      <c r="J46" s="22">
        <f t="shared" si="10"/>
        <v>11.1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0.8999999999999773</v>
      </c>
      <c r="V46" s="22">
        <f t="shared" si="10"/>
        <v>1.8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18.79999999999998</v>
      </c>
      <c r="AG46" s="27">
        <f>AG40-AG41-AG42-AG43-AG44-AG45</f>
        <v>17.099999999999966</v>
      </c>
    </row>
    <row r="47" spans="1:33" ht="17.25" customHeight="1">
      <c r="A47" s="4" t="s">
        <v>43</v>
      </c>
      <c r="B47" s="36">
        <f>1157.2-29</f>
        <v>1128.2</v>
      </c>
      <c r="C47" s="22">
        <f>735.9-29</f>
        <v>706.9</v>
      </c>
      <c r="D47" s="22"/>
      <c r="E47" s="28"/>
      <c r="F47" s="28"/>
      <c r="G47" s="28">
        <v>4</v>
      </c>
      <c r="H47" s="28">
        <v>39.7</v>
      </c>
      <c r="I47" s="28"/>
      <c r="J47" s="29">
        <v>141.6</v>
      </c>
      <c r="K47" s="28">
        <v>9.9</v>
      </c>
      <c r="L47" s="28">
        <v>31.3</v>
      </c>
      <c r="M47" s="28"/>
      <c r="N47" s="28">
        <v>27.6</v>
      </c>
      <c r="O47" s="31">
        <v>1.1</v>
      </c>
      <c r="P47" s="28"/>
      <c r="Q47" s="28"/>
      <c r="R47" s="28"/>
      <c r="S47" s="29">
        <v>399</v>
      </c>
      <c r="T47" s="29">
        <v>127.2</v>
      </c>
      <c r="U47" s="28">
        <v>7.6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789.0000000000001</v>
      </c>
      <c r="AG47" s="27">
        <f>B47+C47-AF47</f>
        <v>1046.1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989.4-29.1</f>
        <v>960.3</v>
      </c>
      <c r="C49" s="22">
        <f>628.7-29</f>
        <v>599.7</v>
      </c>
      <c r="D49" s="22"/>
      <c r="E49" s="22"/>
      <c r="F49" s="22"/>
      <c r="G49" s="22">
        <v>4</v>
      </c>
      <c r="H49" s="22">
        <v>25.4</v>
      </c>
      <c r="I49" s="22"/>
      <c r="J49" s="26">
        <v>141.4</v>
      </c>
      <c r="K49" s="22">
        <v>9.8</v>
      </c>
      <c r="L49" s="22">
        <v>31.2</v>
      </c>
      <c r="M49" s="22"/>
      <c r="N49" s="22"/>
      <c r="O49" s="27">
        <v>1.1</v>
      </c>
      <c r="P49" s="22"/>
      <c r="Q49" s="22"/>
      <c r="R49" s="22"/>
      <c r="S49" s="26">
        <v>390.1</v>
      </c>
      <c r="T49" s="26">
        <v>50</v>
      </c>
      <c r="U49" s="22">
        <v>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655</v>
      </c>
      <c r="AG49" s="27">
        <f>B49+C49-AF49</f>
        <v>905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167.9000000000001</v>
      </c>
      <c r="C51" s="22">
        <f t="shared" si="11"/>
        <v>107.19999999999993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14.300000000000004</v>
      </c>
      <c r="I51" s="22">
        <f t="shared" si="11"/>
        <v>0</v>
      </c>
      <c r="J51" s="22">
        <f t="shared" si="11"/>
        <v>0.19999999999998863</v>
      </c>
      <c r="K51" s="22">
        <f t="shared" si="11"/>
        <v>0.09999999999999964</v>
      </c>
      <c r="L51" s="22">
        <f t="shared" si="11"/>
        <v>0.10000000000000142</v>
      </c>
      <c r="M51" s="22">
        <f t="shared" si="11"/>
        <v>0</v>
      </c>
      <c r="N51" s="22">
        <f t="shared" si="11"/>
        <v>27.6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8.899999999999977</v>
      </c>
      <c r="T51" s="22">
        <f t="shared" si="11"/>
        <v>77.2</v>
      </c>
      <c r="U51" s="22">
        <f t="shared" si="11"/>
        <v>5.6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133.99999999999997</v>
      </c>
      <c r="AG51" s="27">
        <f>AG47-AG49-AG48</f>
        <v>141.0999999999999</v>
      </c>
    </row>
    <row r="52" spans="1:33" ht="15" customHeight="1">
      <c r="A52" s="4" t="s">
        <v>0</v>
      </c>
      <c r="B52" s="22">
        <f>5274.6+870+129.6</f>
        <v>6274.200000000001</v>
      </c>
      <c r="C52" s="22">
        <v>1802.8</v>
      </c>
      <c r="D52" s="22"/>
      <c r="E52" s="22"/>
      <c r="F52" s="22">
        <v>82.6</v>
      </c>
      <c r="G52" s="22">
        <v>1043.7</v>
      </c>
      <c r="H52" s="22">
        <v>489.5</v>
      </c>
      <c r="I52" s="22"/>
      <c r="J52" s="26">
        <v>1835.3</v>
      </c>
      <c r="K52" s="22">
        <v>427.5</v>
      </c>
      <c r="L52" s="22">
        <v>91.3</v>
      </c>
      <c r="M52" s="22"/>
      <c r="N52" s="22">
        <v>190</v>
      </c>
      <c r="O52" s="27">
        <v>524</v>
      </c>
      <c r="P52" s="22">
        <v>63.3</v>
      </c>
      <c r="Q52" s="22">
        <v>11.3</v>
      </c>
      <c r="R52" s="22">
        <v>68.3</v>
      </c>
      <c r="S52" s="26">
        <v>293.9</v>
      </c>
      <c r="T52" s="26">
        <v>953</v>
      </c>
      <c r="U52" s="26">
        <v>327.8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6401.5</v>
      </c>
      <c r="AG52" s="27">
        <f aca="true" t="shared" si="12" ref="AG52:AG59">B52+C52-AF52</f>
        <v>1675.500000000001</v>
      </c>
    </row>
    <row r="53" spans="1:33" ht="15" customHeight="1">
      <c r="A53" s="3" t="s">
        <v>2</v>
      </c>
      <c r="B53" s="22">
        <f>906.1</f>
        <v>906.1</v>
      </c>
      <c r="C53" s="22">
        <v>1143.7</v>
      </c>
      <c r="D53" s="22"/>
      <c r="E53" s="22"/>
      <c r="F53" s="22"/>
      <c r="G53" s="22">
        <v>1043.7</v>
      </c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>
        <v>68.3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1112</v>
      </c>
      <c r="AG53" s="27">
        <f t="shared" si="12"/>
        <v>937.8000000000002</v>
      </c>
    </row>
    <row r="54" spans="1:34" ht="15" customHeight="1">
      <c r="A54" s="4" t="s">
        <v>9</v>
      </c>
      <c r="B54" s="44">
        <f>5139.2+146.9</f>
        <v>5286.099999999999</v>
      </c>
      <c r="C54" s="22">
        <v>821.2</v>
      </c>
      <c r="D54" s="22"/>
      <c r="E54" s="22"/>
      <c r="F54" s="22">
        <v>5.1</v>
      </c>
      <c r="G54" s="22"/>
      <c r="H54" s="22">
        <v>223.7</v>
      </c>
      <c r="I54" s="22"/>
      <c r="J54" s="26">
        <v>77.9</v>
      </c>
      <c r="K54" s="22"/>
      <c r="L54" s="22"/>
      <c r="M54" s="22">
        <v>1834.7</v>
      </c>
      <c r="N54" s="22">
        <v>29.7</v>
      </c>
      <c r="O54" s="27">
        <v>171.2</v>
      </c>
      <c r="P54" s="22">
        <v>8.4</v>
      </c>
      <c r="Q54" s="27">
        <v>128.8</v>
      </c>
      <c r="R54" s="22"/>
      <c r="S54" s="26">
        <v>239.3</v>
      </c>
      <c r="T54" s="26">
        <v>79.6</v>
      </c>
      <c r="U54" s="26">
        <v>50.8</v>
      </c>
      <c r="V54" s="26">
        <v>1967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4816.200000000001</v>
      </c>
      <c r="AG54" s="22">
        <f t="shared" si="12"/>
        <v>1291.0999999999985</v>
      </c>
      <c r="AH54" s="6"/>
    </row>
    <row r="55" spans="1:34" ht="15.75">
      <c r="A55" s="3" t="s">
        <v>5</v>
      </c>
      <c r="B55" s="22">
        <f>3722.1+146.9</f>
        <v>3869</v>
      </c>
      <c r="C55" s="22">
        <v>68</v>
      </c>
      <c r="D55" s="22"/>
      <c r="E55" s="22"/>
      <c r="F55" s="22"/>
      <c r="G55" s="22"/>
      <c r="H55" s="22"/>
      <c r="I55" s="22"/>
      <c r="J55" s="26"/>
      <c r="K55" s="22"/>
      <c r="L55" s="22"/>
      <c r="M55" s="22">
        <v>1830.2</v>
      </c>
      <c r="N55" s="22"/>
      <c r="O55" s="27"/>
      <c r="P55" s="22"/>
      <c r="Q55" s="27"/>
      <c r="R55" s="22"/>
      <c r="S55" s="26"/>
      <c r="T55" s="26"/>
      <c r="U55" s="26"/>
      <c r="V55" s="26">
        <v>1935.3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3765.5</v>
      </c>
      <c r="AG55" s="22">
        <f t="shared" si="12"/>
        <v>171.5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537.3</v>
      </c>
      <c r="C57" s="22">
        <v>275.5</v>
      </c>
      <c r="D57" s="22"/>
      <c r="E57" s="22"/>
      <c r="F57" s="22"/>
      <c r="G57" s="22"/>
      <c r="H57" s="22">
        <v>41.8</v>
      </c>
      <c r="I57" s="22"/>
      <c r="J57" s="26">
        <v>16.1</v>
      </c>
      <c r="K57" s="22"/>
      <c r="L57" s="22"/>
      <c r="M57" s="22">
        <v>2.9</v>
      </c>
      <c r="N57" s="22">
        <v>29.7</v>
      </c>
      <c r="O57" s="27">
        <v>160.9</v>
      </c>
      <c r="P57" s="22">
        <v>0.8</v>
      </c>
      <c r="Q57" s="27"/>
      <c r="R57" s="22"/>
      <c r="S57" s="26">
        <v>93.4</v>
      </c>
      <c r="T57" s="26"/>
      <c r="U57" s="26">
        <v>46.9</v>
      </c>
      <c r="V57" s="26">
        <v>11.2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403.7</v>
      </c>
      <c r="AG57" s="22">
        <f t="shared" si="12"/>
        <v>409.09999999999997</v>
      </c>
    </row>
    <row r="58" spans="1:33" ht="15.75">
      <c r="A58" s="3" t="s">
        <v>16</v>
      </c>
      <c r="B58" s="36">
        <v>5.1</v>
      </c>
      <c r="C58" s="22">
        <v>5.1</v>
      </c>
      <c r="D58" s="22"/>
      <c r="E58" s="22"/>
      <c r="F58" s="22">
        <v>5.1</v>
      </c>
      <c r="G58" s="22"/>
      <c r="H58" s="22"/>
      <c r="I58" s="22"/>
      <c r="J58" s="26"/>
      <c r="K58" s="22"/>
      <c r="L58" s="22"/>
      <c r="M58" s="22"/>
      <c r="N58" s="22"/>
      <c r="O58" s="27">
        <v>5.1</v>
      </c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10.2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874.6999999999995</v>
      </c>
      <c r="C60" s="22">
        <f t="shared" si="13"/>
        <v>472.6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181.89999999999998</v>
      </c>
      <c r="I60" s="22">
        <f t="shared" si="13"/>
        <v>0</v>
      </c>
      <c r="J60" s="22">
        <f t="shared" si="13"/>
        <v>61.800000000000004</v>
      </c>
      <c r="K60" s="22">
        <f t="shared" si="13"/>
        <v>0</v>
      </c>
      <c r="L60" s="22">
        <f t="shared" si="13"/>
        <v>0</v>
      </c>
      <c r="M60" s="22">
        <f t="shared" si="13"/>
        <v>1.6</v>
      </c>
      <c r="N60" s="22">
        <f t="shared" si="13"/>
        <v>0</v>
      </c>
      <c r="O60" s="22">
        <f t="shared" si="13"/>
        <v>5.199999999999983</v>
      </c>
      <c r="P60" s="22">
        <f t="shared" si="13"/>
        <v>7.6000000000000005</v>
      </c>
      <c r="Q60" s="22">
        <f t="shared" si="13"/>
        <v>128.8</v>
      </c>
      <c r="R60" s="22">
        <f t="shared" si="13"/>
        <v>0</v>
      </c>
      <c r="S60" s="22">
        <f t="shared" si="13"/>
        <v>145.9</v>
      </c>
      <c r="T60" s="22">
        <f t="shared" si="13"/>
        <v>79.6</v>
      </c>
      <c r="U60" s="22">
        <f t="shared" si="13"/>
        <v>3.8999999999999986</v>
      </c>
      <c r="V60" s="22">
        <f t="shared" si="13"/>
        <v>20.500000000000046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636.8000000000006</v>
      </c>
      <c r="AG60" s="22">
        <f>AG54-AG55-AG57-AG59-AG56-AG58</f>
        <v>710.4999999999986</v>
      </c>
    </row>
    <row r="61" spans="1:33" ht="15" customHeight="1">
      <c r="A61" s="4" t="s">
        <v>10</v>
      </c>
      <c r="B61" s="22">
        <f>152.3+89.1</f>
        <v>241.4</v>
      </c>
      <c r="C61" s="22">
        <v>101.2</v>
      </c>
      <c r="D61" s="22"/>
      <c r="E61" s="22">
        <v>50.2</v>
      </c>
      <c r="F61" s="22"/>
      <c r="G61" s="22"/>
      <c r="H61" s="22"/>
      <c r="I61" s="22"/>
      <c r="J61" s="26">
        <v>8.1</v>
      </c>
      <c r="K61" s="22"/>
      <c r="L61" s="22"/>
      <c r="M61" s="22"/>
      <c r="N61" s="22"/>
      <c r="O61" s="27"/>
      <c r="P61" s="22"/>
      <c r="Q61" s="27">
        <v>0.6</v>
      </c>
      <c r="R61" s="22"/>
      <c r="S61" s="26"/>
      <c r="T61" s="26"/>
      <c r="U61" s="26">
        <v>111.5</v>
      </c>
      <c r="V61" s="26">
        <v>89.2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259.6</v>
      </c>
      <c r="AG61" s="22">
        <f aca="true" t="shared" si="15" ref="AG61:AG67">B61+C61-AF61</f>
        <v>83</v>
      </c>
    </row>
    <row r="62" spans="1:33" ht="15" customHeight="1">
      <c r="A62" s="4" t="s">
        <v>11</v>
      </c>
      <c r="B62" s="22">
        <f>2042.2-146.9</f>
        <v>1895.3</v>
      </c>
      <c r="C62" s="22">
        <v>483.6</v>
      </c>
      <c r="D62" s="22"/>
      <c r="E62" s="22"/>
      <c r="F62" s="22">
        <v>8</v>
      </c>
      <c r="G62" s="22"/>
      <c r="H62" s="22">
        <v>35.8</v>
      </c>
      <c r="I62" s="22"/>
      <c r="J62" s="26">
        <v>34</v>
      </c>
      <c r="K62" s="22"/>
      <c r="L62" s="22">
        <v>6</v>
      </c>
      <c r="M62" s="22">
        <v>454.4</v>
      </c>
      <c r="N62" s="22">
        <v>67.8</v>
      </c>
      <c r="O62" s="27">
        <v>74.7</v>
      </c>
      <c r="P62" s="22">
        <v>41.8</v>
      </c>
      <c r="Q62" s="27"/>
      <c r="R62" s="22"/>
      <c r="S62" s="26">
        <v>81.6</v>
      </c>
      <c r="T62" s="26">
        <v>68</v>
      </c>
      <c r="U62" s="26">
        <v>973</v>
      </c>
      <c r="V62" s="26">
        <v>34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1879.1</v>
      </c>
      <c r="AG62" s="22">
        <f t="shared" si="15"/>
        <v>499.8000000000002</v>
      </c>
    </row>
    <row r="63" spans="1:34" ht="15.75">
      <c r="A63" s="3" t="s">
        <v>5</v>
      </c>
      <c r="B63" s="22">
        <f>1194-70</f>
        <v>1124</v>
      </c>
      <c r="C63" s="22">
        <v>62.8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389.6</v>
      </c>
      <c r="N63" s="22"/>
      <c r="O63" s="27"/>
      <c r="P63" s="22"/>
      <c r="Q63" s="27"/>
      <c r="R63" s="22"/>
      <c r="S63" s="26"/>
      <c r="T63" s="26"/>
      <c r="U63" s="26">
        <v>752.9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1142.5</v>
      </c>
      <c r="AG63" s="22">
        <f t="shared" si="15"/>
        <v>44.299999999999955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74.9</v>
      </c>
      <c r="C65" s="22">
        <v>50.5</v>
      </c>
      <c r="D65" s="22"/>
      <c r="E65" s="22"/>
      <c r="F65" s="22">
        <v>1.9</v>
      </c>
      <c r="G65" s="22"/>
      <c r="H65" s="22">
        <v>1.9</v>
      </c>
      <c r="I65" s="22"/>
      <c r="J65" s="26"/>
      <c r="K65" s="22"/>
      <c r="L65" s="22"/>
      <c r="M65" s="22"/>
      <c r="N65" s="22"/>
      <c r="O65" s="27">
        <v>0.5</v>
      </c>
      <c r="P65" s="22">
        <v>7.4</v>
      </c>
      <c r="Q65" s="27"/>
      <c r="R65" s="22"/>
      <c r="S65" s="26">
        <v>2.1</v>
      </c>
      <c r="T65" s="26">
        <v>1.2</v>
      </c>
      <c r="U65" s="26">
        <v>12.9</v>
      </c>
      <c r="V65" s="26">
        <v>5.1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</v>
      </c>
      <c r="AG65" s="22">
        <f t="shared" si="15"/>
        <v>92.4</v>
      </c>
      <c r="AH65" s="6"/>
    </row>
    <row r="66" spans="1:33" ht="15.75">
      <c r="A66" s="3" t="s">
        <v>2</v>
      </c>
      <c r="B66" s="22">
        <f>193.1-1.9</f>
        <v>191.2</v>
      </c>
      <c r="C66" s="22">
        <v>133.7</v>
      </c>
      <c r="D66" s="22"/>
      <c r="E66" s="22"/>
      <c r="F66" s="22">
        <v>0.5</v>
      </c>
      <c r="G66" s="22"/>
      <c r="H66" s="22">
        <v>0.6</v>
      </c>
      <c r="I66" s="22"/>
      <c r="J66" s="26"/>
      <c r="K66" s="22"/>
      <c r="L66" s="22"/>
      <c r="M66" s="22"/>
      <c r="N66" s="22">
        <v>7.5</v>
      </c>
      <c r="O66" s="27">
        <v>73.9</v>
      </c>
      <c r="P66" s="22">
        <v>2.1</v>
      </c>
      <c r="Q66" s="22"/>
      <c r="R66" s="22"/>
      <c r="S66" s="26">
        <v>51.2</v>
      </c>
      <c r="T66" s="26">
        <v>20.8</v>
      </c>
      <c r="U66" s="26">
        <v>16.3</v>
      </c>
      <c r="V66" s="26">
        <v>5.9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178.80000000000004</v>
      </c>
      <c r="AG66" s="22">
        <f t="shared" si="15"/>
        <v>146.09999999999994</v>
      </c>
    </row>
    <row r="67" spans="1:33" ht="15.75">
      <c r="A67" s="3" t="s">
        <v>16</v>
      </c>
      <c r="B67" s="22">
        <v>43.3</v>
      </c>
      <c r="C67" s="22">
        <v>43.2</v>
      </c>
      <c r="D67" s="22"/>
      <c r="E67" s="22"/>
      <c r="F67" s="22"/>
      <c r="G67" s="22"/>
      <c r="H67" s="22"/>
      <c r="I67" s="22"/>
      <c r="J67" s="26">
        <v>34</v>
      </c>
      <c r="K67" s="22"/>
      <c r="L67" s="22"/>
      <c r="M67" s="22"/>
      <c r="N67" s="22"/>
      <c r="O67" s="22"/>
      <c r="P67" s="22"/>
      <c r="Q67" s="22"/>
      <c r="R67" s="22"/>
      <c r="S67" s="26"/>
      <c r="T67" s="26">
        <v>46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80</v>
      </c>
      <c r="AG67" s="22">
        <f t="shared" si="15"/>
        <v>6.5</v>
      </c>
    </row>
    <row r="68" spans="1:33" ht="15.75">
      <c r="A68" s="3" t="s">
        <v>23</v>
      </c>
      <c r="B68" s="22">
        <f aca="true" t="shared" si="16" ref="B68:AD68">B62-B63-B66-B67-B65-B64</f>
        <v>461.9</v>
      </c>
      <c r="C68" s="22">
        <f t="shared" si="16"/>
        <v>193.40000000000003</v>
      </c>
      <c r="D68" s="22">
        <f t="shared" si="16"/>
        <v>0</v>
      </c>
      <c r="E68" s="22">
        <f t="shared" si="16"/>
        <v>0</v>
      </c>
      <c r="F68" s="22">
        <f t="shared" si="16"/>
        <v>5.6</v>
      </c>
      <c r="G68" s="22">
        <f t="shared" si="16"/>
        <v>0</v>
      </c>
      <c r="H68" s="22">
        <f t="shared" si="16"/>
        <v>33.3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6</v>
      </c>
      <c r="M68" s="22">
        <f t="shared" si="16"/>
        <v>64.79999999999995</v>
      </c>
      <c r="N68" s="22">
        <f t="shared" si="16"/>
        <v>60.3</v>
      </c>
      <c r="O68" s="22">
        <f t="shared" si="16"/>
        <v>0.29999999999999716</v>
      </c>
      <c r="P68" s="22">
        <f t="shared" si="16"/>
        <v>32.3</v>
      </c>
      <c r="Q68" s="22">
        <f t="shared" si="16"/>
        <v>0</v>
      </c>
      <c r="R68" s="22">
        <f t="shared" si="16"/>
        <v>0</v>
      </c>
      <c r="S68" s="22">
        <f t="shared" si="16"/>
        <v>28.29999999999999</v>
      </c>
      <c r="T68" s="22">
        <f t="shared" si="16"/>
        <v>2.886579864025407E-15</v>
      </c>
      <c r="U68" s="22">
        <f t="shared" si="16"/>
        <v>190.9</v>
      </c>
      <c r="V68" s="22">
        <f t="shared" si="16"/>
        <v>23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444.79999999999995</v>
      </c>
      <c r="AG68" s="22">
        <f>AG62-AG63-AG66-AG67-AG65-AG64</f>
        <v>210.5000000000003</v>
      </c>
    </row>
    <row r="69" spans="1:33" ht="31.5">
      <c r="A69" s="4" t="s">
        <v>46</v>
      </c>
      <c r="B69" s="22">
        <v>3301.9</v>
      </c>
      <c r="C69" s="22">
        <v>3658.3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>
        <v>3483.8</v>
      </c>
      <c r="P69" s="22"/>
      <c r="Q69" s="22"/>
      <c r="R69" s="22">
        <v>2635.6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6119.4</v>
      </c>
      <c r="AG69" s="30">
        <f aca="true" t="shared" si="17" ref="AG69:AG92">B69+C69-AF69</f>
        <v>840.8000000000011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1206.5</v>
      </c>
      <c r="C71" s="28">
        <v>824.9</v>
      </c>
      <c r="D71" s="28"/>
      <c r="E71" s="28"/>
      <c r="F71" s="28">
        <v>1601.8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39.7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1641.5</v>
      </c>
      <c r="AG71" s="30">
        <f t="shared" si="17"/>
        <v>389.9000000000001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1599.4-89.1</f>
        <v>1510.3000000000002</v>
      </c>
      <c r="C72" s="22">
        <v>982.7</v>
      </c>
      <c r="D72" s="22"/>
      <c r="E72" s="22">
        <v>110.8</v>
      </c>
      <c r="F72" s="22">
        <v>2</v>
      </c>
      <c r="G72" s="22"/>
      <c r="H72" s="22"/>
      <c r="I72" s="22"/>
      <c r="J72" s="26"/>
      <c r="K72" s="22"/>
      <c r="L72" s="22"/>
      <c r="M72" s="22"/>
      <c r="N72" s="22">
        <v>13</v>
      </c>
      <c r="O72" s="22">
        <v>19.7</v>
      </c>
      <c r="P72" s="22"/>
      <c r="Q72" s="27">
        <v>150.8</v>
      </c>
      <c r="R72" s="22"/>
      <c r="S72" s="26">
        <v>20.8</v>
      </c>
      <c r="T72" s="26">
        <v>188.8</v>
      </c>
      <c r="U72" s="26">
        <v>59.7</v>
      </c>
      <c r="V72" s="26">
        <v>26.5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592.1</v>
      </c>
      <c r="AG72" s="30">
        <f t="shared" si="17"/>
        <v>1900.9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39.1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39.1</v>
      </c>
      <c r="AG73" s="30">
        <f t="shared" si="17"/>
        <v>0</v>
      </c>
    </row>
    <row r="74" spans="1:33" ht="15" customHeight="1">
      <c r="A74" s="3" t="s">
        <v>2</v>
      </c>
      <c r="B74" s="22">
        <v>398.5</v>
      </c>
      <c r="C74" s="22">
        <v>403.7</v>
      </c>
      <c r="D74" s="22"/>
      <c r="E74" s="22">
        <v>68.3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>
        <v>138.7</v>
      </c>
      <c r="R74" s="22"/>
      <c r="S74" s="26"/>
      <c r="T74" s="26"/>
      <c r="U74" s="26"/>
      <c r="V74" s="26">
        <v>15.9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222.9</v>
      </c>
      <c r="AG74" s="30">
        <f t="shared" si="17"/>
        <v>579.3000000000001</v>
      </c>
    </row>
    <row r="75" spans="1:33" ht="15" customHeight="1">
      <c r="A75" s="3" t="s">
        <v>16</v>
      </c>
      <c r="B75" s="22">
        <f>11.2-9.1</f>
        <v>2.0999999999999996</v>
      </c>
      <c r="C75" s="22">
        <f>84.8-80</f>
        <v>4.799999999999997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0.49999999999999645</v>
      </c>
    </row>
    <row r="76" spans="1:33" s="11" customFormat="1" ht="15.75">
      <c r="A76" s="12" t="s">
        <v>49</v>
      </c>
      <c r="B76" s="22">
        <v>181</v>
      </c>
      <c r="C76" s="22">
        <v>39.9</v>
      </c>
      <c r="D76" s="22">
        <v>0.1</v>
      </c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>
        <v>27.3</v>
      </c>
      <c r="P76" s="28"/>
      <c r="Q76" s="31"/>
      <c r="R76" s="28"/>
      <c r="S76" s="29">
        <v>5.8</v>
      </c>
      <c r="T76" s="29"/>
      <c r="U76" s="28">
        <v>57.7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90.9</v>
      </c>
      <c r="AG76" s="30">
        <f t="shared" si="17"/>
        <v>130</v>
      </c>
    </row>
    <row r="77" spans="1:33" s="11" customFormat="1" ht="15.75">
      <c r="A77" s="3" t="s">
        <v>5</v>
      </c>
      <c r="B77" s="22">
        <v>84.9</v>
      </c>
      <c r="C77" s="22">
        <v>0.1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>
        <v>27.3</v>
      </c>
      <c r="P77" s="28"/>
      <c r="Q77" s="31"/>
      <c r="R77" s="28"/>
      <c r="S77" s="29"/>
      <c r="T77" s="29"/>
      <c r="U77" s="28">
        <v>57.1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84.4</v>
      </c>
      <c r="AG77" s="30">
        <f t="shared" si="17"/>
        <v>0.5999999999999943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7.2</v>
      </c>
      <c r="C80" s="22">
        <v>7.5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>
        <v>5.6</v>
      </c>
      <c r="T80" s="29"/>
      <c r="U80" s="28">
        <v>0.6</v>
      </c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6.199999999999999</v>
      </c>
      <c r="AG80" s="30">
        <f t="shared" si="17"/>
        <v>8.5</v>
      </c>
    </row>
    <row r="81" spans="1:33" s="11" customFormat="1" ht="15.75">
      <c r="A81" s="12" t="s">
        <v>50</v>
      </c>
      <c r="B81" s="22">
        <v>0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5700+150-870</f>
        <v>4980</v>
      </c>
      <c r="C89" s="22">
        <v>137.4</v>
      </c>
      <c r="D89" s="22"/>
      <c r="E89" s="22"/>
      <c r="F89" s="22">
        <v>232.8</v>
      </c>
      <c r="G89" s="22"/>
      <c r="H89" s="22"/>
      <c r="I89" s="22"/>
      <c r="J89" s="22">
        <v>205.1</v>
      </c>
      <c r="K89" s="22">
        <v>14</v>
      </c>
      <c r="L89" s="22"/>
      <c r="M89" s="22">
        <v>11.2</v>
      </c>
      <c r="N89" s="22"/>
      <c r="O89" s="22">
        <v>182</v>
      </c>
      <c r="P89" s="22">
        <v>44.6</v>
      </c>
      <c r="Q89" s="22"/>
      <c r="R89" s="22"/>
      <c r="S89" s="26">
        <v>100.3</v>
      </c>
      <c r="T89" s="26">
        <v>189.9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979.8999999999999</v>
      </c>
      <c r="AG89" s="22">
        <f t="shared" si="17"/>
        <v>4137.5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833.4</v>
      </c>
      <c r="C91" s="22">
        <v>833.3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1666.6999999999998</v>
      </c>
      <c r="AH91" s="11"/>
    </row>
    <row r="92" spans="1:34" ht="15.75">
      <c r="A92" s="4" t="s">
        <v>37</v>
      </c>
      <c r="B92" s="22">
        <f>10000-1000</f>
        <v>9000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>
        <v>9000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9000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142954.99999999997</v>
      </c>
      <c r="C94" s="42">
        <f t="shared" si="18"/>
        <v>48924.90000000001</v>
      </c>
      <c r="D94" s="42">
        <f t="shared" si="18"/>
        <v>43.5</v>
      </c>
      <c r="E94" s="42">
        <f t="shared" si="18"/>
        <v>206.60000000000002</v>
      </c>
      <c r="F94" s="42">
        <f t="shared" si="18"/>
        <v>1955.6</v>
      </c>
      <c r="G94" s="42">
        <f t="shared" si="18"/>
        <v>1621.7</v>
      </c>
      <c r="H94" s="42">
        <f t="shared" si="18"/>
        <v>1352.3000000000002</v>
      </c>
      <c r="I94" s="42">
        <f t="shared" si="18"/>
        <v>0</v>
      </c>
      <c r="J94" s="42">
        <f t="shared" si="18"/>
        <v>2547.4999999999995</v>
      </c>
      <c r="K94" s="42">
        <f t="shared" si="18"/>
        <v>2400.2999999999997</v>
      </c>
      <c r="L94" s="42">
        <f t="shared" si="18"/>
        <v>11390.699999999997</v>
      </c>
      <c r="M94" s="42">
        <f t="shared" si="18"/>
        <v>20013.200000000004</v>
      </c>
      <c r="N94" s="42">
        <f t="shared" si="18"/>
        <v>1317.1000000000001</v>
      </c>
      <c r="O94" s="42">
        <f t="shared" si="18"/>
        <v>4780.8</v>
      </c>
      <c r="P94" s="42">
        <f t="shared" si="18"/>
        <v>1125.3</v>
      </c>
      <c r="Q94" s="42">
        <f t="shared" si="18"/>
        <v>8573.2</v>
      </c>
      <c r="R94" s="42">
        <f t="shared" si="18"/>
        <v>4610.299999999999</v>
      </c>
      <c r="S94" s="42">
        <f t="shared" si="18"/>
        <v>2304.3000000000006</v>
      </c>
      <c r="T94" s="42">
        <f t="shared" si="18"/>
        <v>14989.5</v>
      </c>
      <c r="U94" s="42">
        <f t="shared" si="18"/>
        <v>36113.5</v>
      </c>
      <c r="V94" s="42">
        <f t="shared" si="18"/>
        <v>6378.000000000001</v>
      </c>
      <c r="W94" s="42">
        <f t="shared" si="18"/>
        <v>9882.4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131605.80000000002</v>
      </c>
      <c r="AG94" s="58">
        <f>AG10+AG15+AG24+AG33+AG47+AG52+AG54+AG61+AG62+AG69+AG71+AG72+AG76+AG81+AG82+AG83+AG88+AG89+AG90+AG91+AG70+AG40+AG92</f>
        <v>60274.09999999999</v>
      </c>
    </row>
    <row r="95" spans="1:33" ht="15.75">
      <c r="A95" s="3" t="s">
        <v>5</v>
      </c>
      <c r="B95" s="22">
        <f aca="true" t="shared" si="19" ref="B95:AD95">B11+B17+B26+B34+B55+B63+B73+B41+B77+B48</f>
        <v>57350.799999999996</v>
      </c>
      <c r="C95" s="22">
        <f t="shared" si="19"/>
        <v>10868.499999999998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34.8</v>
      </c>
      <c r="H95" s="22">
        <f t="shared" si="19"/>
        <v>67.4</v>
      </c>
      <c r="I95" s="22">
        <f t="shared" si="19"/>
        <v>0</v>
      </c>
      <c r="J95" s="22">
        <f t="shared" si="19"/>
        <v>0</v>
      </c>
      <c r="K95" s="22">
        <f t="shared" si="19"/>
        <v>991.2</v>
      </c>
      <c r="L95" s="22">
        <f t="shared" si="19"/>
        <v>1434.4</v>
      </c>
      <c r="M95" s="22">
        <f t="shared" si="19"/>
        <v>18683.8</v>
      </c>
      <c r="N95" s="22">
        <f t="shared" si="19"/>
        <v>14.5</v>
      </c>
      <c r="O95" s="22">
        <f t="shared" si="19"/>
        <v>73.5</v>
      </c>
      <c r="P95" s="22">
        <f t="shared" si="19"/>
        <v>0</v>
      </c>
      <c r="Q95" s="22">
        <f t="shared" si="19"/>
        <v>0</v>
      </c>
      <c r="R95" s="22">
        <f t="shared" si="19"/>
        <v>0.1</v>
      </c>
      <c r="S95" s="22">
        <f t="shared" si="19"/>
        <v>0</v>
      </c>
      <c r="T95" s="22">
        <f t="shared" si="19"/>
        <v>13336.9</v>
      </c>
      <c r="U95" s="22">
        <f t="shared" si="19"/>
        <v>10105.1</v>
      </c>
      <c r="V95" s="22">
        <f t="shared" si="19"/>
        <v>5795.3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50537</v>
      </c>
      <c r="AG95" s="27">
        <f>B95+C95-AF95</f>
        <v>17682.29999999999</v>
      </c>
    </row>
    <row r="96" spans="1:33" ht="15.75">
      <c r="A96" s="3" t="s">
        <v>2</v>
      </c>
      <c r="B96" s="22">
        <f aca="true" t="shared" si="20" ref="B96:AD96">B12+B20+B29+B36+B57+B66+B44+B80+B74+B53</f>
        <v>15073</v>
      </c>
      <c r="C96" s="22">
        <f t="shared" si="20"/>
        <v>18787.800000000003</v>
      </c>
      <c r="D96" s="22">
        <f t="shared" si="20"/>
        <v>0</v>
      </c>
      <c r="E96" s="22">
        <f t="shared" si="20"/>
        <v>68.3</v>
      </c>
      <c r="F96" s="22">
        <f t="shared" si="20"/>
        <v>5.6</v>
      </c>
      <c r="G96" s="22">
        <f t="shared" si="20"/>
        <v>1187.4</v>
      </c>
      <c r="H96" s="22">
        <f t="shared" si="20"/>
        <v>55.9</v>
      </c>
      <c r="I96" s="22">
        <f t="shared" si="20"/>
        <v>0</v>
      </c>
      <c r="J96" s="22">
        <f t="shared" si="20"/>
        <v>16.8</v>
      </c>
      <c r="K96" s="22">
        <f t="shared" si="20"/>
        <v>0</v>
      </c>
      <c r="L96" s="22">
        <f t="shared" si="20"/>
        <v>5</v>
      </c>
      <c r="M96" s="22">
        <f t="shared" si="20"/>
        <v>232.7</v>
      </c>
      <c r="N96" s="22">
        <f t="shared" si="20"/>
        <v>132.4</v>
      </c>
      <c r="O96" s="22">
        <f t="shared" si="20"/>
        <v>234.8</v>
      </c>
      <c r="P96" s="22">
        <f t="shared" si="20"/>
        <v>709.5</v>
      </c>
      <c r="Q96" s="22">
        <f t="shared" si="20"/>
        <v>3517.6</v>
      </c>
      <c r="R96" s="22">
        <f t="shared" si="20"/>
        <v>1974.6</v>
      </c>
      <c r="S96" s="22">
        <f t="shared" si="20"/>
        <v>618.7</v>
      </c>
      <c r="T96" s="22">
        <f t="shared" si="20"/>
        <v>20.8</v>
      </c>
      <c r="U96" s="22">
        <f t="shared" si="20"/>
        <v>6371.7</v>
      </c>
      <c r="V96" s="22">
        <f t="shared" si="20"/>
        <v>76.5</v>
      </c>
      <c r="W96" s="22">
        <f t="shared" si="20"/>
        <v>31.8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15260.099999999999</v>
      </c>
      <c r="AG96" s="27">
        <f>B96+C96-AF96</f>
        <v>18600.700000000004</v>
      </c>
    </row>
    <row r="97" spans="1:33" ht="15.75">
      <c r="A97" s="3" t="s">
        <v>3</v>
      </c>
      <c r="B97" s="22">
        <f aca="true" t="shared" si="21" ref="B97:AA97">B18+B27+B42+B64+B78</f>
        <v>1.4</v>
      </c>
      <c r="C97" s="22">
        <f t="shared" si="21"/>
        <v>4.6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</v>
      </c>
    </row>
    <row r="98" spans="1:33" ht="15.75">
      <c r="A98" s="3" t="s">
        <v>1</v>
      </c>
      <c r="B98" s="22">
        <f aca="true" t="shared" si="22" ref="B98:AD98">B19+B28+B65+B35+B43+B56+B79</f>
        <v>3003.2</v>
      </c>
      <c r="C98" s="22">
        <f t="shared" si="22"/>
        <v>1192</v>
      </c>
      <c r="D98" s="22">
        <f t="shared" si="22"/>
        <v>43.4</v>
      </c>
      <c r="E98" s="22">
        <f t="shared" si="22"/>
        <v>23</v>
      </c>
      <c r="F98" s="22">
        <f t="shared" si="22"/>
        <v>1.9</v>
      </c>
      <c r="G98" s="22">
        <f t="shared" si="22"/>
        <v>50.5</v>
      </c>
      <c r="H98" s="22">
        <f t="shared" si="22"/>
        <v>484.09999999999997</v>
      </c>
      <c r="I98" s="22">
        <f t="shared" si="22"/>
        <v>0</v>
      </c>
      <c r="J98" s="22">
        <f t="shared" si="22"/>
        <v>5.4</v>
      </c>
      <c r="K98" s="22">
        <f t="shared" si="22"/>
        <v>0</v>
      </c>
      <c r="L98" s="22">
        <f t="shared" si="22"/>
        <v>461.6</v>
      </c>
      <c r="M98" s="22">
        <f t="shared" si="22"/>
        <v>80.5</v>
      </c>
      <c r="N98" s="22">
        <f t="shared" si="22"/>
        <v>0</v>
      </c>
      <c r="O98" s="22">
        <f t="shared" si="22"/>
        <v>0.5</v>
      </c>
      <c r="P98" s="22">
        <f t="shared" si="22"/>
        <v>172.9</v>
      </c>
      <c r="Q98" s="22">
        <f t="shared" si="22"/>
        <v>636</v>
      </c>
      <c r="R98" s="22">
        <f t="shared" si="22"/>
        <v>0</v>
      </c>
      <c r="S98" s="22">
        <f t="shared" si="22"/>
        <v>128.4</v>
      </c>
      <c r="T98" s="22">
        <f t="shared" si="22"/>
        <v>1.2</v>
      </c>
      <c r="U98" s="22">
        <f t="shared" si="22"/>
        <v>903.6999999999999</v>
      </c>
      <c r="V98" s="22">
        <f t="shared" si="22"/>
        <v>61.2</v>
      </c>
      <c r="W98" s="22">
        <f t="shared" si="22"/>
        <v>6.4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3060.7</v>
      </c>
      <c r="AG98" s="27">
        <f>B98+C98-AF98</f>
        <v>1134.5</v>
      </c>
    </row>
    <row r="99" spans="1:33" ht="15.75">
      <c r="A99" s="3" t="s">
        <v>16</v>
      </c>
      <c r="B99" s="22">
        <f aca="true" t="shared" si="23" ref="B99:X99">B21+B30+B49+B37+B58+B13+B75+B67</f>
        <v>2231.8</v>
      </c>
      <c r="C99" s="22">
        <f t="shared" si="23"/>
        <v>889.6</v>
      </c>
      <c r="D99" s="22">
        <f t="shared" si="23"/>
        <v>0</v>
      </c>
      <c r="E99" s="22">
        <f t="shared" si="23"/>
        <v>0</v>
      </c>
      <c r="F99" s="22">
        <f t="shared" si="23"/>
        <v>5.1</v>
      </c>
      <c r="G99" s="22">
        <f t="shared" si="23"/>
        <v>5.2</v>
      </c>
      <c r="H99" s="22">
        <f t="shared" si="23"/>
        <v>25.4</v>
      </c>
      <c r="I99" s="22">
        <f t="shared" si="23"/>
        <v>0</v>
      </c>
      <c r="J99" s="22">
        <f t="shared" si="23"/>
        <v>175.4</v>
      </c>
      <c r="K99" s="22">
        <f t="shared" si="23"/>
        <v>9.8</v>
      </c>
      <c r="L99" s="22">
        <f t="shared" si="23"/>
        <v>31.2</v>
      </c>
      <c r="M99" s="22">
        <f t="shared" si="23"/>
        <v>207.2</v>
      </c>
      <c r="N99" s="22">
        <f t="shared" si="23"/>
        <v>0</v>
      </c>
      <c r="O99" s="22">
        <f t="shared" si="23"/>
        <v>6.199999999999999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878.2</v>
      </c>
      <c r="T99" s="22">
        <f t="shared" si="23"/>
        <v>102.4</v>
      </c>
      <c r="U99" s="22">
        <f t="shared" si="23"/>
        <v>286.1</v>
      </c>
      <c r="V99" s="22">
        <f t="shared" si="23"/>
        <v>207.8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1940.0000000000002</v>
      </c>
      <c r="AG99" s="27">
        <f>B99+C99-AF99</f>
        <v>1181.3999999999999</v>
      </c>
    </row>
    <row r="100" spans="1:33" ht="12.75">
      <c r="A100" s="1" t="s">
        <v>35</v>
      </c>
      <c r="B100" s="2">
        <f aca="true" t="shared" si="25" ref="B100:AD100">B94-B95-B96-B97-B98-B99</f>
        <v>65294.79999999999</v>
      </c>
      <c r="C100" s="2">
        <f t="shared" si="25"/>
        <v>17182.40000000001</v>
      </c>
      <c r="D100" s="2">
        <f t="shared" si="25"/>
        <v>0.10000000000000142</v>
      </c>
      <c r="E100" s="2">
        <f t="shared" si="25"/>
        <v>115.30000000000001</v>
      </c>
      <c r="F100" s="2">
        <f t="shared" si="25"/>
        <v>1943</v>
      </c>
      <c r="G100" s="2">
        <f t="shared" si="25"/>
        <v>343.8</v>
      </c>
      <c r="H100" s="2">
        <f t="shared" si="25"/>
        <v>719.5000000000001</v>
      </c>
      <c r="I100" s="2">
        <f t="shared" si="25"/>
        <v>0</v>
      </c>
      <c r="J100" s="2">
        <f t="shared" si="25"/>
        <v>2349.899999999999</v>
      </c>
      <c r="K100" s="2">
        <f t="shared" si="25"/>
        <v>1399.2999999999997</v>
      </c>
      <c r="L100" s="2">
        <f t="shared" si="25"/>
        <v>9458.499999999996</v>
      </c>
      <c r="M100" s="2">
        <f t="shared" si="25"/>
        <v>809.000000000005</v>
      </c>
      <c r="N100" s="2">
        <f t="shared" si="25"/>
        <v>1170.2</v>
      </c>
      <c r="O100" s="2">
        <f t="shared" si="25"/>
        <v>4465.8</v>
      </c>
      <c r="P100" s="2">
        <f t="shared" si="25"/>
        <v>242.89999999999995</v>
      </c>
      <c r="Q100" s="2">
        <f t="shared" si="25"/>
        <v>4419.6</v>
      </c>
      <c r="R100" s="2">
        <f t="shared" si="25"/>
        <v>2635.599999999999</v>
      </c>
      <c r="S100" s="2">
        <f t="shared" si="25"/>
        <v>679.0000000000005</v>
      </c>
      <c r="T100" s="2">
        <f t="shared" si="25"/>
        <v>1528.2000000000003</v>
      </c>
      <c r="U100" s="2">
        <f t="shared" si="25"/>
        <v>18446.9</v>
      </c>
      <c r="V100" s="2">
        <f t="shared" si="25"/>
        <v>237.20000000000073</v>
      </c>
      <c r="W100" s="2">
        <f t="shared" si="25"/>
        <v>9844.2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60808.000000000015</v>
      </c>
      <c r="AG100" s="2">
        <f>AG94-AG95-AG96-AG97-AG98-AG99</f>
        <v>21669.199999999997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9" sqref="W8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56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9</v>
      </c>
      <c r="J4" s="19">
        <v>10</v>
      </c>
      <c r="K4" s="8">
        <v>13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38611.6</v>
      </c>
      <c r="C7" s="72">
        <v>13493.9</v>
      </c>
      <c r="D7" s="45"/>
      <c r="E7" s="46">
        <v>19296.8</v>
      </c>
      <c r="F7" s="46"/>
      <c r="G7" s="46"/>
      <c r="H7" s="74"/>
      <c r="I7" s="46"/>
      <c r="J7" s="47"/>
      <c r="K7" s="46"/>
      <c r="L7" s="46">
        <v>19314.8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14988.6</v>
      </c>
      <c r="AF7" s="72"/>
      <c r="AG7" s="48"/>
    </row>
    <row r="8" spans="1:55" ht="18" customHeight="1">
      <c r="A8" s="60" t="s">
        <v>30</v>
      </c>
      <c r="B8" s="40">
        <f>SUM(D8:AB8)</f>
        <v>111123.1</v>
      </c>
      <c r="C8" s="40">
        <v>66186.9</v>
      </c>
      <c r="D8" s="43">
        <v>11703.5</v>
      </c>
      <c r="E8" s="55">
        <v>4743.5</v>
      </c>
      <c r="F8" s="55">
        <v>4152.9</v>
      </c>
      <c r="G8" s="55">
        <v>3141.7</v>
      </c>
      <c r="H8" s="55">
        <v>4691.3</v>
      </c>
      <c r="I8" s="55">
        <v>9642.4</v>
      </c>
      <c r="J8" s="56">
        <v>1555.6</v>
      </c>
      <c r="K8" s="55">
        <v>2155.3</v>
      </c>
      <c r="L8" s="55">
        <v>1463</v>
      </c>
      <c r="M8" s="55">
        <v>2587</v>
      </c>
      <c r="N8" s="55">
        <v>14652.3</v>
      </c>
      <c r="O8" s="55">
        <v>4014.4</v>
      </c>
      <c r="P8" s="55">
        <v>3476.7</v>
      </c>
      <c r="Q8" s="55">
        <v>4412.3</v>
      </c>
      <c r="R8" s="55">
        <v>3651.5</v>
      </c>
      <c r="S8" s="57">
        <v>4811.2</v>
      </c>
      <c r="T8" s="57">
        <v>2423.5</v>
      </c>
      <c r="U8" s="55">
        <v>1912.7</v>
      </c>
      <c r="V8" s="55">
        <v>2119.1</v>
      </c>
      <c r="W8" s="55">
        <v>3870.2</v>
      </c>
      <c r="X8" s="56">
        <v>8830.3</v>
      </c>
      <c r="Y8" s="56">
        <v>11112.7</v>
      </c>
      <c r="Z8" s="56"/>
      <c r="AA8" s="56"/>
      <c r="AB8" s="55"/>
      <c r="AC8" s="23"/>
      <c r="AD8" s="23"/>
      <c r="AE8" s="61">
        <v>62407.4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159331.9</v>
      </c>
      <c r="C9" s="24">
        <f t="shared" si="0"/>
        <v>60274.10000000001</v>
      </c>
      <c r="D9" s="24">
        <f t="shared" si="0"/>
        <v>7.9</v>
      </c>
      <c r="E9" s="24">
        <f t="shared" si="0"/>
        <v>4681.9</v>
      </c>
      <c r="F9" s="24">
        <f t="shared" si="0"/>
        <v>4364.7</v>
      </c>
      <c r="G9" s="24">
        <f t="shared" si="0"/>
        <v>4086.2000000000003</v>
      </c>
      <c r="H9" s="24">
        <f t="shared" si="0"/>
        <v>1900.5</v>
      </c>
      <c r="I9" s="24">
        <f t="shared" si="0"/>
        <v>7163.9</v>
      </c>
      <c r="J9" s="24">
        <f t="shared" si="0"/>
        <v>1309.1</v>
      </c>
      <c r="K9" s="24">
        <f t="shared" si="0"/>
        <v>32305.800000000003</v>
      </c>
      <c r="L9" s="24">
        <f t="shared" si="0"/>
        <v>4315.799999999999</v>
      </c>
      <c r="M9" s="24">
        <f t="shared" si="0"/>
        <v>515.5</v>
      </c>
      <c r="N9" s="24">
        <f t="shared" si="0"/>
        <v>1393.7000000000003</v>
      </c>
      <c r="O9" s="24">
        <f t="shared" si="0"/>
        <v>4014.6</v>
      </c>
      <c r="P9" s="24">
        <f t="shared" si="0"/>
        <v>7974.9</v>
      </c>
      <c r="Q9" s="24">
        <f t="shared" si="0"/>
        <v>2982.8999999999996</v>
      </c>
      <c r="R9" s="24">
        <f t="shared" si="0"/>
        <v>2806.4</v>
      </c>
      <c r="S9" s="24">
        <f t="shared" si="0"/>
        <v>4867.4</v>
      </c>
      <c r="T9" s="24">
        <f t="shared" si="0"/>
        <v>4665.400000000001</v>
      </c>
      <c r="U9" s="24">
        <f t="shared" si="0"/>
        <v>38745.99999999999</v>
      </c>
      <c r="V9" s="24">
        <f t="shared" si="0"/>
        <v>8953.099999999999</v>
      </c>
      <c r="W9" s="24">
        <f t="shared" si="0"/>
        <v>3872</v>
      </c>
      <c r="X9" s="24">
        <f t="shared" si="0"/>
        <v>8866.8</v>
      </c>
      <c r="Y9" s="24">
        <f t="shared" si="0"/>
        <v>2202.6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151997.1</v>
      </c>
      <c r="AG9" s="50">
        <f>AG10+AG15+AG24+AG33+AG47+AG52+AG54+AG61+AG62+AG71+AG72+AG76+AG88+AG81+AG83+AG82+AG69+AG89+AG91+AG90+AG70+AG40+AG92</f>
        <v>67608.89999999998</v>
      </c>
      <c r="AH9" s="49"/>
      <c r="AI9" s="49"/>
    </row>
    <row r="10" spans="1:33" ht="15.75">
      <c r="A10" s="4" t="s">
        <v>4</v>
      </c>
      <c r="B10" s="22">
        <v>14248.6</v>
      </c>
      <c r="C10" s="22">
        <v>14423.7</v>
      </c>
      <c r="D10" s="22"/>
      <c r="E10" s="22">
        <v>25.9</v>
      </c>
      <c r="F10" s="22">
        <v>120.2</v>
      </c>
      <c r="G10" s="22">
        <v>243.3</v>
      </c>
      <c r="H10" s="22">
        <v>17.1</v>
      </c>
      <c r="I10" s="22">
        <v>315.3</v>
      </c>
      <c r="J10" s="25"/>
      <c r="K10" s="22">
        <f>36.8+628.4</f>
        <v>665.1999999999999</v>
      </c>
      <c r="L10" s="22">
        <v>1876.2</v>
      </c>
      <c r="M10" s="22">
        <v>71.1</v>
      </c>
      <c r="N10" s="22">
        <v>29.7</v>
      </c>
      <c r="O10" s="27">
        <v>42.5</v>
      </c>
      <c r="P10" s="22">
        <v>5.2</v>
      </c>
      <c r="Q10" s="22">
        <v>78</v>
      </c>
      <c r="R10" s="22">
        <v>29.4</v>
      </c>
      <c r="S10" s="26">
        <v>120.4</v>
      </c>
      <c r="T10" s="26">
        <v>583.5</v>
      </c>
      <c r="U10" s="26">
        <v>424.3</v>
      </c>
      <c r="V10" s="26">
        <v>1056.1</v>
      </c>
      <c r="W10" s="26">
        <v>1600.5</v>
      </c>
      <c r="X10" s="22">
        <v>1348.3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8652.199999999999</v>
      </c>
      <c r="AG10" s="27">
        <f>B10+C10-AF10</f>
        <v>20020.100000000006</v>
      </c>
    </row>
    <row r="11" spans="1:33" ht="15.75">
      <c r="A11" s="3" t="s">
        <v>5</v>
      </c>
      <c r="B11" s="22">
        <f>12941-12.7-2.2-0.9</f>
        <v>12925.199999999999</v>
      </c>
      <c r="C11" s="22">
        <v>12872.5</v>
      </c>
      <c r="D11" s="22"/>
      <c r="E11" s="22">
        <v>5.7</v>
      </c>
      <c r="F11" s="22">
        <v>23.4</v>
      </c>
      <c r="G11" s="22">
        <v>14.2</v>
      </c>
      <c r="H11" s="22"/>
      <c r="I11" s="22">
        <v>309.4</v>
      </c>
      <c r="J11" s="26"/>
      <c r="K11" s="22">
        <v>627.8</v>
      </c>
      <c r="L11" s="22">
        <v>1876.2</v>
      </c>
      <c r="M11" s="22">
        <v>1.4</v>
      </c>
      <c r="N11" s="22"/>
      <c r="O11" s="27">
        <v>2.8</v>
      </c>
      <c r="P11" s="22"/>
      <c r="Q11" s="22">
        <v>20.2</v>
      </c>
      <c r="R11" s="22"/>
      <c r="S11" s="26"/>
      <c r="T11" s="26"/>
      <c r="U11" s="26">
        <v>321.2</v>
      </c>
      <c r="V11" s="26">
        <v>999.1</v>
      </c>
      <c r="W11" s="26">
        <v>1596.9</v>
      </c>
      <c r="X11" s="22">
        <v>1340.8</v>
      </c>
      <c r="Y11" s="26"/>
      <c r="Z11" s="26"/>
      <c r="AA11" s="26"/>
      <c r="AB11" s="22"/>
      <c r="AC11" s="22"/>
      <c r="AD11" s="22"/>
      <c r="AE11" s="22"/>
      <c r="AF11" s="22">
        <f t="shared" si="1"/>
        <v>7139.099999999999</v>
      </c>
      <c r="AG11" s="27">
        <f>B11+C11-AF11</f>
        <v>18658.6</v>
      </c>
    </row>
    <row r="12" spans="1:33" ht="15.75">
      <c r="A12" s="3" t="s">
        <v>2</v>
      </c>
      <c r="B12" s="36">
        <v>405.6</v>
      </c>
      <c r="C12" s="22">
        <v>729</v>
      </c>
      <c r="D12" s="22"/>
      <c r="E12" s="22"/>
      <c r="F12" s="22">
        <v>67.3</v>
      </c>
      <c r="G12" s="22">
        <v>62.7</v>
      </c>
      <c r="H12" s="22"/>
      <c r="I12" s="22"/>
      <c r="J12" s="26"/>
      <c r="K12" s="22"/>
      <c r="L12" s="22"/>
      <c r="M12" s="22">
        <v>3.5</v>
      </c>
      <c r="N12" s="22">
        <v>1.4</v>
      </c>
      <c r="O12" s="27"/>
      <c r="P12" s="22"/>
      <c r="Q12" s="22">
        <v>40.6</v>
      </c>
      <c r="R12" s="22"/>
      <c r="S12" s="26">
        <v>112.7</v>
      </c>
      <c r="T12" s="26">
        <v>571.4</v>
      </c>
      <c r="U12" s="26">
        <v>55.5</v>
      </c>
      <c r="V12" s="26"/>
      <c r="W12" s="26">
        <v>1.7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916.8</v>
      </c>
      <c r="AG12" s="27">
        <f>B12+C12-AF12</f>
        <v>217.79999999999995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917.8000000000014</v>
      </c>
      <c r="C14" s="22">
        <f t="shared" si="2"/>
        <v>822.2000000000007</v>
      </c>
      <c r="D14" s="22">
        <f t="shared" si="2"/>
        <v>0</v>
      </c>
      <c r="E14" s="22">
        <f t="shared" si="2"/>
        <v>20.2</v>
      </c>
      <c r="F14" s="22">
        <f t="shared" si="2"/>
        <v>29.500000000000014</v>
      </c>
      <c r="G14" s="22">
        <f t="shared" si="2"/>
        <v>166.40000000000003</v>
      </c>
      <c r="H14" s="22">
        <f t="shared" si="2"/>
        <v>17.1</v>
      </c>
      <c r="I14" s="22">
        <f t="shared" si="2"/>
        <v>5.900000000000034</v>
      </c>
      <c r="J14" s="22">
        <f t="shared" si="2"/>
        <v>0</v>
      </c>
      <c r="K14" s="22">
        <f t="shared" si="2"/>
        <v>37.39999999999998</v>
      </c>
      <c r="L14" s="22">
        <f t="shared" si="2"/>
        <v>0</v>
      </c>
      <c r="M14" s="22">
        <f t="shared" si="2"/>
        <v>66.19999999999999</v>
      </c>
      <c r="N14" s="22">
        <f t="shared" si="2"/>
        <v>28.3</v>
      </c>
      <c r="O14" s="22">
        <f t="shared" si="2"/>
        <v>39.7</v>
      </c>
      <c r="P14" s="22">
        <f t="shared" si="2"/>
        <v>5.2</v>
      </c>
      <c r="Q14" s="22">
        <f t="shared" si="2"/>
        <v>17.199999999999996</v>
      </c>
      <c r="R14" s="22">
        <f t="shared" si="2"/>
        <v>29.4</v>
      </c>
      <c r="S14" s="22">
        <f t="shared" si="2"/>
        <v>7.700000000000003</v>
      </c>
      <c r="T14" s="22">
        <f t="shared" si="2"/>
        <v>12.100000000000023</v>
      </c>
      <c r="U14" s="22">
        <f t="shared" si="2"/>
        <v>47.60000000000002</v>
      </c>
      <c r="V14" s="22">
        <f t="shared" si="2"/>
        <v>56.999999999999886</v>
      </c>
      <c r="W14" s="22">
        <f t="shared" si="2"/>
        <v>1.899999999999909</v>
      </c>
      <c r="X14" s="22">
        <f t="shared" si="2"/>
        <v>7.5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596.2999999999998</v>
      </c>
      <c r="AG14" s="27">
        <f>AG10-AG11-AG12-AG13</f>
        <v>1143.7000000000073</v>
      </c>
    </row>
    <row r="15" spans="1:33" ht="15" customHeight="1">
      <c r="A15" s="4" t="s">
        <v>6</v>
      </c>
      <c r="B15" s="22">
        <f>54365.5-207.4+0.3</f>
        <v>54158.4</v>
      </c>
      <c r="C15" s="22">
        <v>22420.4</v>
      </c>
      <c r="D15" s="44"/>
      <c r="E15" s="44"/>
      <c r="F15" s="22">
        <v>3404.9</v>
      </c>
      <c r="G15" s="22">
        <v>3295.8</v>
      </c>
      <c r="H15" s="22">
        <v>35.7</v>
      </c>
      <c r="I15" s="22">
        <v>414.5</v>
      </c>
      <c r="J15" s="26"/>
      <c r="K15" s="22">
        <f>81.3+17239.9</f>
        <v>17321.2</v>
      </c>
      <c r="L15" s="22"/>
      <c r="M15" s="22">
        <v>49.6</v>
      </c>
      <c r="N15" s="22">
        <v>892.3</v>
      </c>
      <c r="O15" s="27">
        <v>881.9</v>
      </c>
      <c r="P15" s="22">
        <v>3049.4</v>
      </c>
      <c r="Q15" s="27">
        <v>879.6</v>
      </c>
      <c r="R15" s="22">
        <v>2137.7</v>
      </c>
      <c r="S15" s="26">
        <v>1.1</v>
      </c>
      <c r="T15" s="26">
        <v>113.2</v>
      </c>
      <c r="U15" s="26">
        <v>23136.9</v>
      </c>
      <c r="V15" s="26">
        <v>2610.9</v>
      </c>
      <c r="W15" s="26">
        <v>142.4</v>
      </c>
      <c r="X15" s="22">
        <v>2.7</v>
      </c>
      <c r="Y15" s="26"/>
      <c r="Z15" s="26"/>
      <c r="AA15" s="26"/>
      <c r="AB15" s="22"/>
      <c r="AC15" s="22"/>
      <c r="AD15" s="22"/>
      <c r="AE15" s="22"/>
      <c r="AF15" s="27">
        <f t="shared" si="1"/>
        <v>58369.8</v>
      </c>
      <c r="AG15" s="27">
        <f aca="true" t="shared" si="3" ref="AG15:AG31">B15+C15-AF15</f>
        <v>18209</v>
      </c>
    </row>
    <row r="16" spans="1:34" s="70" customFormat="1" ht="15" customHeight="1">
      <c r="A16" s="65" t="s">
        <v>38</v>
      </c>
      <c r="B16" s="66">
        <v>18736.9</v>
      </c>
      <c r="C16" s="66">
        <v>1617.3</v>
      </c>
      <c r="D16" s="67"/>
      <c r="E16" s="67"/>
      <c r="F16" s="66">
        <v>0.8</v>
      </c>
      <c r="G16" s="66"/>
      <c r="H16" s="66"/>
      <c r="I16" s="66"/>
      <c r="J16" s="68"/>
      <c r="K16" s="66">
        <v>7352</v>
      </c>
      <c r="L16" s="66"/>
      <c r="M16" s="66">
        <v>6.6</v>
      </c>
      <c r="N16" s="66"/>
      <c r="O16" s="69"/>
      <c r="P16" s="66"/>
      <c r="Q16" s="69"/>
      <c r="R16" s="66"/>
      <c r="S16" s="68"/>
      <c r="T16" s="68"/>
      <c r="U16" s="68">
        <v>10108.4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17467.8</v>
      </c>
      <c r="AG16" s="71">
        <f t="shared" si="3"/>
        <v>2886.4000000000015</v>
      </c>
      <c r="AH16" s="75"/>
    </row>
    <row r="17" spans="1:34" ht="15.75">
      <c r="A17" s="3" t="s">
        <v>5</v>
      </c>
      <c r="B17" s="22">
        <f>35714.6+461.1-207.4</f>
        <v>35968.299999999996</v>
      </c>
      <c r="C17" s="22">
        <v>4446.4</v>
      </c>
      <c r="D17" s="22"/>
      <c r="E17" s="22"/>
      <c r="F17" s="22">
        <v>3.4</v>
      </c>
      <c r="G17" s="22"/>
      <c r="H17" s="22">
        <v>7.6</v>
      </c>
      <c r="I17" s="22"/>
      <c r="J17" s="26"/>
      <c r="K17" s="22">
        <v>13882.5</v>
      </c>
      <c r="L17" s="22"/>
      <c r="M17" s="22">
        <v>6.6</v>
      </c>
      <c r="N17" s="22">
        <v>747.5</v>
      </c>
      <c r="O17" s="27"/>
      <c r="P17" s="22"/>
      <c r="Q17" s="27"/>
      <c r="R17" s="22"/>
      <c r="S17" s="26"/>
      <c r="T17" s="26"/>
      <c r="U17" s="26">
        <v>21101.8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35749.4</v>
      </c>
      <c r="AG17" s="27">
        <f t="shared" si="3"/>
        <v>4665.299999999996</v>
      </c>
      <c r="AH17" s="6"/>
    </row>
    <row r="18" spans="1:33" ht="15.75">
      <c r="A18" s="3" t="s">
        <v>3</v>
      </c>
      <c r="B18" s="22">
        <v>18.4</v>
      </c>
      <c r="C18" s="22">
        <v>5.5</v>
      </c>
      <c r="D18" s="22"/>
      <c r="E18" s="22"/>
      <c r="F18" s="22"/>
      <c r="G18" s="22"/>
      <c r="H18" s="22"/>
      <c r="I18" s="22"/>
      <c r="J18" s="26"/>
      <c r="K18" s="22">
        <v>2.5</v>
      </c>
      <c r="L18" s="22"/>
      <c r="M18" s="22"/>
      <c r="N18" s="22">
        <v>4.3</v>
      </c>
      <c r="O18" s="27">
        <v>3.3</v>
      </c>
      <c r="P18" s="22"/>
      <c r="Q18" s="27"/>
      <c r="R18" s="22"/>
      <c r="S18" s="26"/>
      <c r="T18" s="26"/>
      <c r="U18" s="26">
        <v>7</v>
      </c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17.1</v>
      </c>
      <c r="AG18" s="27">
        <f t="shared" si="3"/>
        <v>6.799999999999997</v>
      </c>
    </row>
    <row r="19" spans="1:33" ht="15.75">
      <c r="A19" s="3" t="s">
        <v>1</v>
      </c>
      <c r="B19" s="22">
        <v>3299.6</v>
      </c>
      <c r="C19" s="22">
        <v>1039.3</v>
      </c>
      <c r="D19" s="22"/>
      <c r="E19" s="22"/>
      <c r="F19" s="22">
        <v>310.6</v>
      </c>
      <c r="G19" s="22">
        <v>696.5</v>
      </c>
      <c r="H19" s="22">
        <v>21.5</v>
      </c>
      <c r="I19" s="22">
        <v>413.5</v>
      </c>
      <c r="J19" s="26"/>
      <c r="K19" s="22">
        <f>3.1+202.3</f>
        <v>205.4</v>
      </c>
      <c r="L19" s="22"/>
      <c r="M19" s="22">
        <v>11.4</v>
      </c>
      <c r="N19" s="22">
        <v>138.6</v>
      </c>
      <c r="O19" s="27"/>
      <c r="P19" s="22">
        <v>464</v>
      </c>
      <c r="Q19" s="27"/>
      <c r="R19" s="22">
        <v>46.3</v>
      </c>
      <c r="S19" s="26"/>
      <c r="T19" s="26">
        <v>91.5</v>
      </c>
      <c r="U19" s="26">
        <v>423.6</v>
      </c>
      <c r="V19" s="26">
        <v>320.5</v>
      </c>
      <c r="W19" s="26">
        <v>131.4</v>
      </c>
      <c r="X19" s="22">
        <v>1.4</v>
      </c>
      <c r="Y19" s="26"/>
      <c r="Z19" s="26"/>
      <c r="AA19" s="26"/>
      <c r="AB19" s="22"/>
      <c r="AC19" s="22"/>
      <c r="AD19" s="22"/>
      <c r="AE19" s="22"/>
      <c r="AF19" s="27">
        <f t="shared" si="1"/>
        <v>3276.2000000000003</v>
      </c>
      <c r="AG19" s="27">
        <f t="shared" si="3"/>
        <v>1062.6999999999994</v>
      </c>
    </row>
    <row r="20" spans="1:33" ht="15.75">
      <c r="A20" s="3" t="s">
        <v>2</v>
      </c>
      <c r="B20" s="22">
        <f>12882.1-506.5</f>
        <v>12375.6</v>
      </c>
      <c r="C20" s="22">
        <v>15491.1</v>
      </c>
      <c r="D20" s="22"/>
      <c r="E20" s="22"/>
      <c r="F20" s="22">
        <v>3059.4</v>
      </c>
      <c r="G20" s="22">
        <v>2301.7</v>
      </c>
      <c r="H20" s="22"/>
      <c r="I20" s="22"/>
      <c r="J20" s="26"/>
      <c r="K20" s="22">
        <f>17.6+3131.6</f>
        <v>3149.2</v>
      </c>
      <c r="L20" s="22"/>
      <c r="M20" s="22"/>
      <c r="N20" s="22"/>
      <c r="O20" s="27">
        <v>438.7</v>
      </c>
      <c r="P20" s="22">
        <v>2370.2</v>
      </c>
      <c r="Q20" s="27">
        <v>711.7</v>
      </c>
      <c r="R20" s="22">
        <v>2057.8</v>
      </c>
      <c r="S20" s="26"/>
      <c r="T20" s="26"/>
      <c r="U20" s="26">
        <v>893.1</v>
      </c>
      <c r="V20" s="26">
        <v>2232.6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17214.4</v>
      </c>
      <c r="AG20" s="27">
        <f t="shared" si="3"/>
        <v>10652.3</v>
      </c>
    </row>
    <row r="21" spans="1:33" ht="15.75">
      <c r="A21" s="3" t="s">
        <v>16</v>
      </c>
      <c r="B21" s="22">
        <v>1140.1</v>
      </c>
      <c r="C21" s="22">
        <v>269.4</v>
      </c>
      <c r="D21" s="22"/>
      <c r="E21" s="22"/>
      <c r="F21" s="22"/>
      <c r="G21" s="22">
        <v>1.2</v>
      </c>
      <c r="H21" s="22"/>
      <c r="I21" s="22"/>
      <c r="J21" s="26"/>
      <c r="K21" s="22">
        <v>2.8</v>
      </c>
      <c r="L21" s="22"/>
      <c r="M21" s="22">
        <v>9</v>
      </c>
      <c r="N21" s="22"/>
      <c r="O21" s="27">
        <v>434.7</v>
      </c>
      <c r="P21" s="22"/>
      <c r="Q21" s="27">
        <v>164.8</v>
      </c>
      <c r="R21" s="22"/>
      <c r="S21" s="26"/>
      <c r="T21" s="26"/>
      <c r="U21" s="22">
        <v>490.2</v>
      </c>
      <c r="V21" s="22">
        <v>0.8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1103.5</v>
      </c>
      <c r="AG21" s="27">
        <f t="shared" si="3"/>
        <v>306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1356.4000000000037</v>
      </c>
      <c r="C23" s="22">
        <f t="shared" si="4"/>
        <v>1168.7000000000003</v>
      </c>
      <c r="D23" s="22">
        <f t="shared" si="4"/>
        <v>0</v>
      </c>
      <c r="E23" s="22">
        <f t="shared" si="4"/>
        <v>0</v>
      </c>
      <c r="F23" s="22">
        <f t="shared" si="4"/>
        <v>31.5</v>
      </c>
      <c r="G23" s="22">
        <f t="shared" si="4"/>
        <v>296.4000000000004</v>
      </c>
      <c r="H23" s="22">
        <f t="shared" si="4"/>
        <v>6.600000000000001</v>
      </c>
      <c r="I23" s="22">
        <f t="shared" si="4"/>
        <v>1</v>
      </c>
      <c r="J23" s="22">
        <f t="shared" si="4"/>
        <v>0</v>
      </c>
      <c r="K23" s="22">
        <f t="shared" si="4"/>
        <v>78.80000000000082</v>
      </c>
      <c r="L23" s="22">
        <f t="shared" si="4"/>
        <v>0</v>
      </c>
      <c r="M23" s="22">
        <f t="shared" si="4"/>
        <v>22.6</v>
      </c>
      <c r="N23" s="22">
        <f t="shared" si="4"/>
        <v>1.8999999999999488</v>
      </c>
      <c r="O23" s="22">
        <f t="shared" si="4"/>
        <v>5.2000000000000455</v>
      </c>
      <c r="P23" s="22">
        <f t="shared" si="4"/>
        <v>215.20000000000027</v>
      </c>
      <c r="Q23" s="22">
        <f t="shared" si="4"/>
        <v>3.099999999999966</v>
      </c>
      <c r="R23" s="22">
        <f t="shared" si="4"/>
        <v>33.599999999999454</v>
      </c>
      <c r="S23" s="22">
        <f t="shared" si="4"/>
        <v>1.1</v>
      </c>
      <c r="T23" s="22">
        <f t="shared" si="4"/>
        <v>21.700000000000003</v>
      </c>
      <c r="U23" s="22">
        <f t="shared" si="4"/>
        <v>221.20000000000226</v>
      </c>
      <c r="V23" s="22">
        <f t="shared" si="4"/>
        <v>57.000000000000185</v>
      </c>
      <c r="W23" s="22">
        <f t="shared" si="4"/>
        <v>11</v>
      </c>
      <c r="X23" s="22">
        <f t="shared" si="4"/>
        <v>1.3000000000000003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1009.2000000000035</v>
      </c>
      <c r="AG23" s="27">
        <f t="shared" si="3"/>
        <v>1515.9000000000005</v>
      </c>
    </row>
    <row r="24" spans="1:33" ht="15" customHeight="1">
      <c r="A24" s="4" t="s">
        <v>7</v>
      </c>
      <c r="B24" s="22">
        <f>33078.7+2377.2</f>
        <v>35455.899999999994</v>
      </c>
      <c r="C24" s="22">
        <v>9096.9</v>
      </c>
      <c r="D24" s="22"/>
      <c r="E24" s="22"/>
      <c r="F24" s="22">
        <v>533.8</v>
      </c>
      <c r="G24" s="22">
        <v>30.7</v>
      </c>
      <c r="H24" s="22"/>
      <c r="I24" s="22"/>
      <c r="J24" s="26">
        <v>490.1</v>
      </c>
      <c r="K24" s="22">
        <f>119.4+11796.1</f>
        <v>11915.5</v>
      </c>
      <c r="L24" s="22"/>
      <c r="M24" s="22"/>
      <c r="N24" s="22"/>
      <c r="O24" s="27"/>
      <c r="P24" s="22">
        <v>3423.1</v>
      </c>
      <c r="Q24" s="27">
        <v>24.3</v>
      </c>
      <c r="R24" s="27">
        <v>167.7</v>
      </c>
      <c r="S24" s="26"/>
      <c r="T24" s="26">
        <v>3429.8</v>
      </c>
      <c r="U24" s="26">
        <v>14147.8</v>
      </c>
      <c r="V24" s="26">
        <v>57.6</v>
      </c>
      <c r="W24" s="26">
        <v>1.8</v>
      </c>
      <c r="X24" s="22">
        <v>36.5</v>
      </c>
      <c r="Y24" s="26"/>
      <c r="Z24" s="26"/>
      <c r="AA24" s="26"/>
      <c r="AB24" s="22"/>
      <c r="AC24" s="22"/>
      <c r="AD24" s="22"/>
      <c r="AE24" s="22"/>
      <c r="AF24" s="27">
        <f t="shared" si="1"/>
        <v>34258.700000000004</v>
      </c>
      <c r="AG24" s="27">
        <f t="shared" si="3"/>
        <v>10294.099999999991</v>
      </c>
    </row>
    <row r="25" spans="1:34" s="70" customFormat="1" ht="15" customHeight="1">
      <c r="A25" s="65" t="s">
        <v>39</v>
      </c>
      <c r="B25" s="66">
        <f>19856.7+1256.1</f>
        <v>21112.8</v>
      </c>
      <c r="C25" s="66">
        <v>4800.6</v>
      </c>
      <c r="D25" s="66"/>
      <c r="E25" s="66"/>
      <c r="F25" s="66">
        <v>353.7</v>
      </c>
      <c r="G25" s="66">
        <v>16.6</v>
      </c>
      <c r="H25" s="66"/>
      <c r="I25" s="66"/>
      <c r="J25" s="68">
        <v>490.1</v>
      </c>
      <c r="K25" s="66">
        <v>8886.5</v>
      </c>
      <c r="L25" s="66"/>
      <c r="M25" s="66"/>
      <c r="N25" s="66"/>
      <c r="O25" s="69"/>
      <c r="P25" s="66">
        <v>888</v>
      </c>
      <c r="Q25" s="69"/>
      <c r="R25" s="69">
        <v>91.8</v>
      </c>
      <c r="S25" s="68"/>
      <c r="T25" s="68">
        <v>1141.4</v>
      </c>
      <c r="U25" s="68">
        <v>7667.3</v>
      </c>
      <c r="V25" s="68">
        <v>57.6</v>
      </c>
      <c r="W25" s="68">
        <v>1.8</v>
      </c>
      <c r="X25" s="66">
        <v>36.5</v>
      </c>
      <c r="Y25" s="68"/>
      <c r="Z25" s="68"/>
      <c r="AA25" s="68"/>
      <c r="AB25" s="66"/>
      <c r="AC25" s="66"/>
      <c r="AD25" s="66"/>
      <c r="AE25" s="66"/>
      <c r="AF25" s="71">
        <f t="shared" si="1"/>
        <v>19631.299999999996</v>
      </c>
      <c r="AG25" s="71">
        <f t="shared" si="3"/>
        <v>6282.100000000006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35455.899999999994</v>
      </c>
      <c r="C32" s="22">
        <f t="shared" si="5"/>
        <v>9096.9</v>
      </c>
      <c r="D32" s="22">
        <f t="shared" si="5"/>
        <v>0</v>
      </c>
      <c r="E32" s="22">
        <f t="shared" si="5"/>
        <v>0</v>
      </c>
      <c r="F32" s="22">
        <f t="shared" si="5"/>
        <v>533.8</v>
      </c>
      <c r="G32" s="22">
        <f t="shared" si="5"/>
        <v>30.7</v>
      </c>
      <c r="H32" s="22">
        <f t="shared" si="5"/>
        <v>0</v>
      </c>
      <c r="I32" s="22">
        <f t="shared" si="5"/>
        <v>0</v>
      </c>
      <c r="J32" s="22">
        <f t="shared" si="5"/>
        <v>490.1</v>
      </c>
      <c r="K32" s="22">
        <f t="shared" si="5"/>
        <v>11915.5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3423.1</v>
      </c>
      <c r="Q32" s="22">
        <f t="shared" si="5"/>
        <v>24.3</v>
      </c>
      <c r="R32" s="22">
        <f t="shared" si="5"/>
        <v>167.7</v>
      </c>
      <c r="S32" s="22">
        <f t="shared" si="5"/>
        <v>0</v>
      </c>
      <c r="T32" s="22">
        <f t="shared" si="5"/>
        <v>3429.8</v>
      </c>
      <c r="U32" s="22">
        <f t="shared" si="5"/>
        <v>14147.8</v>
      </c>
      <c r="V32" s="22">
        <f t="shared" si="5"/>
        <v>57.6</v>
      </c>
      <c r="W32" s="22">
        <f t="shared" si="5"/>
        <v>1.8</v>
      </c>
      <c r="X32" s="22">
        <f t="shared" si="5"/>
        <v>36.5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34258.700000000004</v>
      </c>
      <c r="AG32" s="27">
        <f>AG24</f>
        <v>10294.099999999991</v>
      </c>
    </row>
    <row r="33" spans="1:33" ht="15" customHeight="1">
      <c r="A33" s="4" t="s">
        <v>8</v>
      </c>
      <c r="B33" s="22">
        <v>313.6</v>
      </c>
      <c r="C33" s="22">
        <v>433.5</v>
      </c>
      <c r="D33" s="22"/>
      <c r="E33" s="22">
        <v>18.6</v>
      </c>
      <c r="F33" s="22"/>
      <c r="G33" s="22"/>
      <c r="H33" s="22"/>
      <c r="I33" s="22">
        <v>1.9</v>
      </c>
      <c r="J33" s="26"/>
      <c r="K33" s="22"/>
      <c r="L33" s="22">
        <v>67.3</v>
      </c>
      <c r="M33" s="22">
        <v>0.4</v>
      </c>
      <c r="N33" s="22"/>
      <c r="O33" s="27"/>
      <c r="P33" s="22">
        <v>57.5</v>
      </c>
      <c r="Q33" s="27"/>
      <c r="R33" s="22">
        <v>0.6</v>
      </c>
      <c r="S33" s="26"/>
      <c r="T33" s="26"/>
      <c r="U33" s="26"/>
      <c r="V33" s="26">
        <v>144.6</v>
      </c>
      <c r="W33" s="26"/>
      <c r="X33" s="26"/>
      <c r="Y33" s="26">
        <v>-4.5</v>
      </c>
      <c r="Z33" s="26"/>
      <c r="AA33" s="26"/>
      <c r="AB33" s="22"/>
      <c r="AC33" s="22"/>
      <c r="AD33" s="22"/>
      <c r="AE33" s="22"/>
      <c r="AF33" s="27">
        <f t="shared" si="1"/>
        <v>286.4</v>
      </c>
      <c r="AG33" s="27">
        <f aca="true" t="shared" si="6" ref="AG33:AG38">B33+C33-AF33</f>
        <v>460.70000000000005</v>
      </c>
    </row>
    <row r="34" spans="1:33" ht="15.75">
      <c r="A34" s="3" t="s">
        <v>5</v>
      </c>
      <c r="B34" s="22">
        <v>237.7</v>
      </c>
      <c r="C34" s="22">
        <v>75.3</v>
      </c>
      <c r="D34" s="22"/>
      <c r="E34" s="22"/>
      <c r="F34" s="22"/>
      <c r="G34" s="22"/>
      <c r="H34" s="22"/>
      <c r="I34" s="22"/>
      <c r="J34" s="26"/>
      <c r="K34" s="22"/>
      <c r="L34" s="22">
        <v>67.3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144.6</v>
      </c>
      <c r="W34" s="26"/>
      <c r="X34" s="26"/>
      <c r="Y34" s="26">
        <v>-4.5</v>
      </c>
      <c r="Z34" s="26"/>
      <c r="AA34" s="26"/>
      <c r="AB34" s="22"/>
      <c r="AC34" s="22"/>
      <c r="AD34" s="22"/>
      <c r="AE34" s="22"/>
      <c r="AF34" s="27">
        <f t="shared" si="1"/>
        <v>207.39999999999998</v>
      </c>
      <c r="AG34" s="27">
        <f t="shared" si="6"/>
        <v>105.60000000000002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67</v>
      </c>
      <c r="C36" s="22">
        <v>153.6</v>
      </c>
      <c r="D36" s="22"/>
      <c r="E36" s="22">
        <v>18.6</v>
      </c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55.1</v>
      </c>
      <c r="Q36" s="27"/>
      <c r="R36" s="22">
        <v>0.5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74.2</v>
      </c>
      <c r="AG36" s="27">
        <f t="shared" si="6"/>
        <v>146.39999999999998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8.900000000000034</v>
      </c>
      <c r="C39" s="22">
        <f t="shared" si="7"/>
        <v>204.6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0.4</v>
      </c>
      <c r="N39" s="22">
        <f t="shared" si="7"/>
        <v>0</v>
      </c>
      <c r="O39" s="22">
        <f t="shared" si="7"/>
        <v>0</v>
      </c>
      <c r="P39" s="22">
        <f t="shared" si="7"/>
        <v>2.3999999999999986</v>
      </c>
      <c r="Q39" s="22">
        <f t="shared" si="7"/>
        <v>0</v>
      </c>
      <c r="R39" s="22">
        <f t="shared" si="7"/>
        <v>0.09999999999999998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4.799999999999998</v>
      </c>
      <c r="AG39" s="27">
        <f>AG33-AG34-AG36-AG38-AG35-AG37</f>
        <v>208.70000000000005</v>
      </c>
    </row>
    <row r="40" spans="1:33" ht="15" customHeight="1">
      <c r="A40" s="4" t="s">
        <v>29</v>
      </c>
      <c r="B40" s="22">
        <v>1005.3</v>
      </c>
      <c r="C40" s="22">
        <v>238.3</v>
      </c>
      <c r="D40" s="22"/>
      <c r="E40" s="22"/>
      <c r="F40" s="22"/>
      <c r="G40" s="22">
        <v>71.6</v>
      </c>
      <c r="H40" s="22"/>
      <c r="I40" s="22"/>
      <c r="J40" s="26"/>
      <c r="K40" s="22">
        <v>375.2</v>
      </c>
      <c r="L40" s="22"/>
      <c r="M40" s="22"/>
      <c r="N40" s="22"/>
      <c r="O40" s="27"/>
      <c r="P40" s="22">
        <v>7</v>
      </c>
      <c r="Q40" s="27"/>
      <c r="R40" s="27">
        <v>7.3</v>
      </c>
      <c r="S40" s="26"/>
      <c r="T40" s="26"/>
      <c r="U40" s="26"/>
      <c r="V40" s="26">
        <v>568.3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1029.3999999999999</v>
      </c>
      <c r="AG40" s="27">
        <f aca="true" t="shared" si="8" ref="AG40:AG45">B40+C40-AF40</f>
        <v>214.20000000000005</v>
      </c>
    </row>
    <row r="41" spans="1:34" ht="15.75">
      <c r="A41" s="3" t="s">
        <v>5</v>
      </c>
      <c r="B41" s="22">
        <v>849.1</v>
      </c>
      <c r="C41" s="22">
        <v>71.7</v>
      </c>
      <c r="D41" s="22"/>
      <c r="E41" s="22"/>
      <c r="F41" s="22"/>
      <c r="G41" s="22"/>
      <c r="H41" s="22"/>
      <c r="I41" s="22"/>
      <c r="J41" s="26"/>
      <c r="K41" s="22">
        <v>284.8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559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843.8</v>
      </c>
      <c r="AG41" s="27">
        <f t="shared" si="8"/>
        <v>77.00000000000011</v>
      </c>
      <c r="AH41" s="6"/>
    </row>
    <row r="42" spans="1:33" ht="15.75">
      <c r="A42" s="3" t="s">
        <v>3</v>
      </c>
      <c r="B42" s="22">
        <v>0.3</v>
      </c>
      <c r="C42" s="22">
        <v>0.5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0.8</v>
      </c>
    </row>
    <row r="43" spans="1:33" ht="15.75">
      <c r="A43" s="3" t="s">
        <v>1</v>
      </c>
      <c r="B43" s="22">
        <v>8.2</v>
      </c>
      <c r="C43" s="22">
        <v>2.8</v>
      </c>
      <c r="D43" s="22"/>
      <c r="E43" s="22"/>
      <c r="F43" s="22"/>
      <c r="G43" s="22">
        <v>5.6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5.6</v>
      </c>
      <c r="AG43" s="27">
        <f t="shared" si="8"/>
        <v>5.4</v>
      </c>
    </row>
    <row r="44" spans="1:33" ht="15.75">
      <c r="A44" s="3" t="s">
        <v>2</v>
      </c>
      <c r="B44" s="22">
        <v>119.4</v>
      </c>
      <c r="C44" s="22">
        <v>146.2</v>
      </c>
      <c r="D44" s="22"/>
      <c r="E44" s="22"/>
      <c r="F44" s="22"/>
      <c r="G44" s="22">
        <v>53.5</v>
      </c>
      <c r="H44" s="22"/>
      <c r="I44" s="22"/>
      <c r="J44" s="26"/>
      <c r="K44" s="22">
        <v>89.7</v>
      </c>
      <c r="L44" s="22"/>
      <c r="M44" s="22"/>
      <c r="N44" s="22"/>
      <c r="O44" s="27"/>
      <c r="P44" s="22"/>
      <c r="Q44" s="22"/>
      <c r="R44" s="22">
        <v>6.2</v>
      </c>
      <c r="S44" s="26"/>
      <c r="T44" s="26"/>
      <c r="U44" s="26"/>
      <c r="V44" s="26">
        <v>7.2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156.59999999999997</v>
      </c>
      <c r="AG44" s="27">
        <f t="shared" si="8"/>
        <v>109.00000000000006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28.299999999999926</v>
      </c>
      <c r="C46" s="22">
        <f t="shared" si="10"/>
        <v>17.100000000000023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0.6999999999999744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7</v>
      </c>
      <c r="Q46" s="22">
        <f t="shared" si="10"/>
        <v>0</v>
      </c>
      <c r="R46" s="22">
        <f t="shared" si="10"/>
        <v>1.0999999999999996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2.0999999999999543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23.39999999999993</v>
      </c>
      <c r="AG46" s="27">
        <f>AG40-AG41-AG42-AG43-AG44-AG45</f>
        <v>21.999999999999858</v>
      </c>
    </row>
    <row r="47" spans="1:33" ht="17.25" customHeight="1">
      <c r="A47" s="4" t="s">
        <v>43</v>
      </c>
      <c r="B47" s="36">
        <f>1248.1+26.1</f>
        <v>1274.1999999999998</v>
      </c>
      <c r="C47" s="22">
        <v>1046.1</v>
      </c>
      <c r="D47" s="22"/>
      <c r="E47" s="28">
        <v>63.2</v>
      </c>
      <c r="F47" s="28"/>
      <c r="G47" s="28">
        <v>113</v>
      </c>
      <c r="H47" s="28">
        <v>70.6</v>
      </c>
      <c r="I47" s="28"/>
      <c r="J47" s="29"/>
      <c r="K47" s="28">
        <v>140</v>
      </c>
      <c r="L47" s="28"/>
      <c r="M47" s="28"/>
      <c r="N47" s="28">
        <v>195.7</v>
      </c>
      <c r="O47" s="31">
        <v>6.2</v>
      </c>
      <c r="P47" s="28"/>
      <c r="Q47" s="28"/>
      <c r="R47" s="28">
        <v>179.8</v>
      </c>
      <c r="S47" s="29"/>
      <c r="T47" s="29">
        <v>200.1</v>
      </c>
      <c r="U47" s="28">
        <v>39.2</v>
      </c>
      <c r="V47" s="28">
        <v>404.4</v>
      </c>
      <c r="W47" s="28">
        <v>43.9</v>
      </c>
      <c r="X47" s="28">
        <v>5.5</v>
      </c>
      <c r="Y47" s="29"/>
      <c r="Z47" s="29"/>
      <c r="AA47" s="29"/>
      <c r="AB47" s="28"/>
      <c r="AC47" s="28"/>
      <c r="AD47" s="28"/>
      <c r="AE47" s="28"/>
      <c r="AF47" s="27">
        <f t="shared" si="9"/>
        <v>1461.6000000000001</v>
      </c>
      <c r="AG47" s="27">
        <f>B47+C47-AF47</f>
        <v>858.6999999999996</v>
      </c>
    </row>
    <row r="48" spans="1:33" ht="15.75">
      <c r="A48" s="3" t="s">
        <v>5</v>
      </c>
      <c r="B48" s="22">
        <v>35.4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17.3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17.3</v>
      </c>
      <c r="AG48" s="27">
        <f>B48+C48-AF48</f>
        <v>18.099999999999998</v>
      </c>
    </row>
    <row r="49" spans="1:33" ht="15.75">
      <c r="A49" s="3" t="s">
        <v>16</v>
      </c>
      <c r="B49" s="22">
        <f>1047.3+26.1</f>
        <v>1073.3999999999999</v>
      </c>
      <c r="C49" s="22">
        <v>905</v>
      </c>
      <c r="D49" s="22"/>
      <c r="E49" s="22">
        <v>51.6</v>
      </c>
      <c r="F49" s="22"/>
      <c r="G49" s="22">
        <v>111.9</v>
      </c>
      <c r="H49" s="22">
        <v>69.9</v>
      </c>
      <c r="I49" s="22"/>
      <c r="J49" s="26"/>
      <c r="K49" s="22">
        <v>132</v>
      </c>
      <c r="L49" s="22"/>
      <c r="M49" s="22"/>
      <c r="N49" s="22">
        <v>193.8</v>
      </c>
      <c r="O49" s="27"/>
      <c r="P49" s="22"/>
      <c r="Q49" s="22"/>
      <c r="R49" s="22">
        <v>143.3</v>
      </c>
      <c r="S49" s="26"/>
      <c r="T49" s="26">
        <v>175.1</v>
      </c>
      <c r="U49" s="22">
        <v>39.1</v>
      </c>
      <c r="V49" s="22">
        <v>393</v>
      </c>
      <c r="W49" s="22">
        <v>24.9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1334.6000000000001</v>
      </c>
      <c r="AG49" s="27">
        <f>B49+C49-AF49</f>
        <v>643.7999999999997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165.39999999999986</v>
      </c>
      <c r="C51" s="22">
        <f t="shared" si="11"/>
        <v>141.0999999999999</v>
      </c>
      <c r="D51" s="22">
        <f t="shared" si="11"/>
        <v>0</v>
      </c>
      <c r="E51" s="22">
        <f t="shared" si="11"/>
        <v>11.600000000000001</v>
      </c>
      <c r="F51" s="22">
        <f t="shared" si="11"/>
        <v>0</v>
      </c>
      <c r="G51" s="22">
        <f t="shared" si="11"/>
        <v>1.0999999999999943</v>
      </c>
      <c r="H51" s="22">
        <f t="shared" si="11"/>
        <v>0.6999999999999886</v>
      </c>
      <c r="I51" s="22">
        <f t="shared" si="11"/>
        <v>0</v>
      </c>
      <c r="J51" s="22">
        <f t="shared" si="11"/>
        <v>0</v>
      </c>
      <c r="K51" s="22">
        <f t="shared" si="11"/>
        <v>8</v>
      </c>
      <c r="L51" s="22">
        <f t="shared" si="11"/>
        <v>0</v>
      </c>
      <c r="M51" s="22">
        <f t="shared" si="11"/>
        <v>0</v>
      </c>
      <c r="N51" s="22">
        <f t="shared" si="11"/>
        <v>1.8999999999999773</v>
      </c>
      <c r="O51" s="22">
        <f t="shared" si="11"/>
        <v>6.2</v>
      </c>
      <c r="P51" s="22">
        <f t="shared" si="11"/>
        <v>0</v>
      </c>
      <c r="Q51" s="22">
        <f t="shared" si="11"/>
        <v>0</v>
      </c>
      <c r="R51" s="22">
        <f t="shared" si="11"/>
        <v>36.5</v>
      </c>
      <c r="S51" s="22">
        <f t="shared" si="11"/>
        <v>0</v>
      </c>
      <c r="T51" s="22">
        <f t="shared" si="11"/>
        <v>25</v>
      </c>
      <c r="U51" s="22">
        <f t="shared" si="11"/>
        <v>0.10000000000000142</v>
      </c>
      <c r="V51" s="22">
        <f t="shared" si="11"/>
        <v>11.399999999999977</v>
      </c>
      <c r="W51" s="22">
        <f t="shared" si="11"/>
        <v>1.6999999999999993</v>
      </c>
      <c r="X51" s="22">
        <f t="shared" si="11"/>
        <v>5.5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109.69999999999995</v>
      </c>
      <c r="AG51" s="27">
        <f>AG47-AG49-AG48</f>
        <v>196.79999999999987</v>
      </c>
    </row>
    <row r="52" spans="1:33" ht="15" customHeight="1">
      <c r="A52" s="4" t="s">
        <v>0</v>
      </c>
      <c r="B52" s="22">
        <v>7016</v>
      </c>
      <c r="C52" s="22">
        <v>1675.5</v>
      </c>
      <c r="D52" s="22"/>
      <c r="E52" s="22">
        <v>2372.9</v>
      </c>
      <c r="F52" s="22">
        <v>1</v>
      </c>
      <c r="G52" s="22">
        <v>6.8</v>
      </c>
      <c r="H52" s="22"/>
      <c r="I52" s="22"/>
      <c r="J52" s="26"/>
      <c r="K52" s="22">
        <f>217.3</f>
        <v>217.3</v>
      </c>
      <c r="L52" s="22">
        <v>273.2</v>
      </c>
      <c r="M52" s="22">
        <v>68.3</v>
      </c>
      <c r="N52" s="22">
        <v>-0.1</v>
      </c>
      <c r="O52" s="27">
        <v>331.5</v>
      </c>
      <c r="P52" s="22">
        <v>504</v>
      </c>
      <c r="Q52" s="22"/>
      <c r="R52" s="22">
        <v>66.1</v>
      </c>
      <c r="S52" s="26"/>
      <c r="T52" s="26"/>
      <c r="U52" s="26">
        <v>441.2</v>
      </c>
      <c r="V52" s="26">
        <v>942.7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5224.900000000001</v>
      </c>
      <c r="AG52" s="27">
        <f aca="true" t="shared" si="12" ref="AG52:AG59">B52+C52-AF52</f>
        <v>3466.5999999999995</v>
      </c>
    </row>
    <row r="53" spans="1:33" ht="15" customHeight="1">
      <c r="A53" s="3" t="s">
        <v>2</v>
      </c>
      <c r="B53" s="22">
        <v>707.2</v>
      </c>
      <c r="C53" s="22">
        <v>937.8</v>
      </c>
      <c r="D53" s="22"/>
      <c r="E53" s="22">
        <v>1051.8</v>
      </c>
      <c r="F53" s="22">
        <v>1</v>
      </c>
      <c r="G53" s="22"/>
      <c r="H53" s="22"/>
      <c r="I53" s="22"/>
      <c r="J53" s="26"/>
      <c r="K53" s="22"/>
      <c r="L53" s="22"/>
      <c r="M53" s="22">
        <v>68.3</v>
      </c>
      <c r="N53" s="22"/>
      <c r="O53" s="27"/>
      <c r="P53" s="22"/>
      <c r="Q53" s="22"/>
      <c r="R53" s="22">
        <v>66.1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1187.1999999999998</v>
      </c>
      <c r="AG53" s="27">
        <f t="shared" si="12"/>
        <v>457.8000000000002</v>
      </c>
    </row>
    <row r="54" spans="1:34" ht="15" customHeight="1">
      <c r="A54" s="4" t="s">
        <v>9</v>
      </c>
      <c r="B54" s="44">
        <f>4962+207.3</f>
        <v>5169.3</v>
      </c>
      <c r="C54" s="22">
        <v>1291.1</v>
      </c>
      <c r="D54" s="22"/>
      <c r="E54" s="22">
        <v>148.5</v>
      </c>
      <c r="F54" s="22">
        <v>65.1</v>
      </c>
      <c r="G54" s="22">
        <v>168.2</v>
      </c>
      <c r="H54" s="22">
        <v>2</v>
      </c>
      <c r="I54" s="22"/>
      <c r="J54" s="26"/>
      <c r="K54" s="22">
        <f>192.1+2.9</f>
        <v>195</v>
      </c>
      <c r="L54" s="22">
        <v>1854.2</v>
      </c>
      <c r="M54" s="22">
        <v>111.8</v>
      </c>
      <c r="N54" s="22">
        <v>11.9</v>
      </c>
      <c r="O54" s="27">
        <v>51</v>
      </c>
      <c r="P54" s="22">
        <v>73.3</v>
      </c>
      <c r="Q54" s="27">
        <v>98</v>
      </c>
      <c r="R54" s="22"/>
      <c r="S54" s="26"/>
      <c r="T54" s="26">
        <v>192</v>
      </c>
      <c r="U54" s="26">
        <v>131.2</v>
      </c>
      <c r="V54" s="26">
        <v>1842</v>
      </c>
      <c r="W54" s="26">
        <v>37.2</v>
      </c>
      <c r="X54" s="22">
        <v>0.2</v>
      </c>
      <c r="Y54" s="26"/>
      <c r="Z54" s="26"/>
      <c r="AA54" s="26"/>
      <c r="AB54" s="22"/>
      <c r="AC54" s="22"/>
      <c r="AD54" s="22"/>
      <c r="AE54" s="22"/>
      <c r="AF54" s="27">
        <f t="shared" si="9"/>
        <v>4981.6</v>
      </c>
      <c r="AG54" s="22">
        <f t="shared" si="12"/>
        <v>1478.7999999999993</v>
      </c>
      <c r="AH54" s="6"/>
    </row>
    <row r="55" spans="1:34" ht="15.75">
      <c r="A55" s="3" t="s">
        <v>5</v>
      </c>
      <c r="B55" s="22">
        <f>3645.6+207.4+1.5+47.6</f>
        <v>3902.1</v>
      </c>
      <c r="C55" s="22">
        <v>171.5</v>
      </c>
      <c r="D55" s="22"/>
      <c r="E55" s="22"/>
      <c r="F55" s="22"/>
      <c r="G55" s="22">
        <v>81</v>
      </c>
      <c r="H55" s="22"/>
      <c r="I55" s="22"/>
      <c r="J55" s="26"/>
      <c r="K55" s="22"/>
      <c r="L55" s="22">
        <v>1854.2</v>
      </c>
      <c r="M55" s="22"/>
      <c r="N55" s="22"/>
      <c r="O55" s="27"/>
      <c r="P55" s="22"/>
      <c r="Q55" s="27"/>
      <c r="R55" s="22"/>
      <c r="S55" s="26"/>
      <c r="T55" s="26"/>
      <c r="U55" s="26">
        <v>129.9</v>
      </c>
      <c r="V55" s="26">
        <v>1804.7</v>
      </c>
      <c r="W55" s="26">
        <v>34.4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3904.2000000000003</v>
      </c>
      <c r="AG55" s="22">
        <f t="shared" si="12"/>
        <v>169.39999999999964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528.8+1.5-1.5-47.6</f>
        <v>481.19999999999993</v>
      </c>
      <c r="C57" s="22">
        <v>409.1</v>
      </c>
      <c r="D57" s="22"/>
      <c r="E57" s="22">
        <v>15.2</v>
      </c>
      <c r="F57" s="22"/>
      <c r="G57" s="22"/>
      <c r="H57" s="22"/>
      <c r="I57" s="22"/>
      <c r="J57" s="26"/>
      <c r="K57" s="22">
        <f>183.7+1</f>
        <v>184.7</v>
      </c>
      <c r="L57" s="22"/>
      <c r="M57" s="22"/>
      <c r="N57" s="22"/>
      <c r="O57" s="27"/>
      <c r="P57" s="22">
        <v>9.2</v>
      </c>
      <c r="Q57" s="27"/>
      <c r="R57" s="22"/>
      <c r="S57" s="26"/>
      <c r="T57" s="26">
        <v>183.2</v>
      </c>
      <c r="U57" s="26">
        <v>0.9</v>
      </c>
      <c r="V57" s="26">
        <v>11.9</v>
      </c>
      <c r="W57" s="26">
        <v>0.1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405.19999999999993</v>
      </c>
      <c r="AG57" s="22">
        <f t="shared" si="12"/>
        <v>485.1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>
        <v>5.1</v>
      </c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780.9000000000003</v>
      </c>
      <c r="C60" s="22">
        <f t="shared" si="13"/>
        <v>710.4999999999999</v>
      </c>
      <c r="D60" s="22">
        <f t="shared" si="13"/>
        <v>0</v>
      </c>
      <c r="E60" s="22">
        <f t="shared" si="13"/>
        <v>133.3</v>
      </c>
      <c r="F60" s="22">
        <f t="shared" si="13"/>
        <v>65.1</v>
      </c>
      <c r="G60" s="22">
        <f t="shared" si="13"/>
        <v>87.19999999999999</v>
      </c>
      <c r="H60" s="22">
        <f t="shared" si="13"/>
        <v>2</v>
      </c>
      <c r="I60" s="22">
        <f t="shared" si="13"/>
        <v>0</v>
      </c>
      <c r="J60" s="22">
        <f t="shared" si="13"/>
        <v>0</v>
      </c>
      <c r="K60" s="22">
        <f t="shared" si="13"/>
        <v>10.300000000000011</v>
      </c>
      <c r="L60" s="22">
        <f t="shared" si="13"/>
        <v>0</v>
      </c>
      <c r="M60" s="22">
        <f t="shared" si="13"/>
        <v>111.8</v>
      </c>
      <c r="N60" s="22">
        <f t="shared" si="13"/>
        <v>6.800000000000001</v>
      </c>
      <c r="O60" s="22">
        <f t="shared" si="13"/>
        <v>51</v>
      </c>
      <c r="P60" s="22">
        <f t="shared" si="13"/>
        <v>64.1</v>
      </c>
      <c r="Q60" s="22">
        <f t="shared" si="13"/>
        <v>98</v>
      </c>
      <c r="R60" s="22">
        <f t="shared" si="13"/>
        <v>0</v>
      </c>
      <c r="S60" s="22">
        <f t="shared" si="13"/>
        <v>0</v>
      </c>
      <c r="T60" s="22">
        <f t="shared" si="13"/>
        <v>8.800000000000011</v>
      </c>
      <c r="U60" s="22">
        <f t="shared" si="13"/>
        <v>0.3999999999999829</v>
      </c>
      <c r="V60" s="22">
        <f t="shared" si="13"/>
        <v>25.399999999999956</v>
      </c>
      <c r="W60" s="22">
        <f t="shared" si="13"/>
        <v>2.700000000000004</v>
      </c>
      <c r="X60" s="22">
        <f t="shared" si="13"/>
        <v>0.2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667.1000000000001</v>
      </c>
      <c r="AG60" s="22">
        <f>AG54-AG55-AG57-AG59-AG56-AG58</f>
        <v>824.2999999999996</v>
      </c>
    </row>
    <row r="61" spans="1:33" ht="15" customHeight="1">
      <c r="A61" s="4" t="s">
        <v>10</v>
      </c>
      <c r="B61" s="22">
        <f>152.4+6.6+16.5</f>
        <v>175.5</v>
      </c>
      <c r="C61" s="22">
        <v>83</v>
      </c>
      <c r="D61" s="22">
        <v>3</v>
      </c>
      <c r="E61" s="22">
        <v>14.7</v>
      </c>
      <c r="F61" s="22"/>
      <c r="G61" s="22"/>
      <c r="H61" s="22">
        <v>7.1</v>
      </c>
      <c r="I61" s="22"/>
      <c r="J61" s="26"/>
      <c r="K61" s="22">
        <v>8.4</v>
      </c>
      <c r="L61" s="22"/>
      <c r="M61" s="22">
        <v>11.5</v>
      </c>
      <c r="N61" s="22">
        <v>17.6</v>
      </c>
      <c r="O61" s="27"/>
      <c r="P61" s="22"/>
      <c r="Q61" s="27"/>
      <c r="R61" s="22"/>
      <c r="S61" s="26"/>
      <c r="T61" s="26"/>
      <c r="U61" s="26">
        <v>100.3</v>
      </c>
      <c r="V61" s="26">
        <v>27.2</v>
      </c>
      <c r="W61" s="26">
        <v>6.2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195.99999999999997</v>
      </c>
      <c r="AG61" s="22">
        <f aca="true" t="shared" si="15" ref="AG61:AG67">B61+C61-AF61</f>
        <v>62.50000000000003</v>
      </c>
    </row>
    <row r="62" spans="1:33" ht="15" customHeight="1">
      <c r="A62" s="4" t="s">
        <v>11</v>
      </c>
      <c r="B62" s="22">
        <f>2091.5+50+356.2</f>
        <v>2497.7</v>
      </c>
      <c r="C62" s="22">
        <v>499.8</v>
      </c>
      <c r="D62" s="22">
        <v>4.9</v>
      </c>
      <c r="E62" s="22"/>
      <c r="F62" s="22">
        <v>131.2</v>
      </c>
      <c r="G62" s="22"/>
      <c r="H62" s="22">
        <v>59.3</v>
      </c>
      <c r="I62" s="22"/>
      <c r="J62" s="26"/>
      <c r="K62" s="22">
        <f>161.2+407.6</f>
        <v>568.8</v>
      </c>
      <c r="L62" s="22">
        <v>113.2</v>
      </c>
      <c r="M62" s="22">
        <v>131.2</v>
      </c>
      <c r="N62" s="22"/>
      <c r="O62" s="27">
        <v>51.5</v>
      </c>
      <c r="P62" s="22">
        <v>32.5</v>
      </c>
      <c r="Q62" s="27">
        <v>2.5</v>
      </c>
      <c r="R62" s="22">
        <v>9</v>
      </c>
      <c r="S62" s="26">
        <v>29.3</v>
      </c>
      <c r="T62" s="26">
        <v>48.7</v>
      </c>
      <c r="U62" s="26">
        <v>24.6</v>
      </c>
      <c r="V62" s="26">
        <v>895.5</v>
      </c>
      <c r="W62" s="26">
        <v>47.8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2150</v>
      </c>
      <c r="AG62" s="22">
        <f t="shared" si="15"/>
        <v>847.5</v>
      </c>
    </row>
    <row r="63" spans="1:34" ht="15.75">
      <c r="A63" s="3" t="s">
        <v>5</v>
      </c>
      <c r="B63" s="22">
        <v>1194</v>
      </c>
      <c r="C63" s="22">
        <v>44.3</v>
      </c>
      <c r="D63" s="22"/>
      <c r="E63" s="22"/>
      <c r="F63" s="22"/>
      <c r="G63" s="22"/>
      <c r="H63" s="22"/>
      <c r="I63" s="22"/>
      <c r="J63" s="26"/>
      <c r="K63" s="22">
        <v>403.1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>
        <v>730.4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1133.5</v>
      </c>
      <c r="AG63" s="22">
        <f t="shared" si="15"/>
        <v>104.79999999999995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75</v>
      </c>
      <c r="C65" s="22">
        <v>92.4</v>
      </c>
      <c r="D65" s="22">
        <v>4.5</v>
      </c>
      <c r="E65" s="22"/>
      <c r="F65" s="22">
        <v>16.8</v>
      </c>
      <c r="G65" s="22"/>
      <c r="H65" s="22">
        <v>19.2</v>
      </c>
      <c r="I65" s="22"/>
      <c r="J65" s="26"/>
      <c r="K65" s="22">
        <v>9.7</v>
      </c>
      <c r="L65" s="22"/>
      <c r="M65" s="22">
        <v>3.1</v>
      </c>
      <c r="N65" s="22"/>
      <c r="O65" s="27">
        <v>1.1</v>
      </c>
      <c r="P65" s="22">
        <v>1.4</v>
      </c>
      <c r="Q65" s="27">
        <v>2.5</v>
      </c>
      <c r="R65" s="22"/>
      <c r="S65" s="26"/>
      <c r="T65" s="26">
        <v>5.7</v>
      </c>
      <c r="U65" s="26">
        <v>19.9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84.7</v>
      </c>
      <c r="AG65" s="22">
        <f t="shared" si="15"/>
        <v>82.7</v>
      </c>
      <c r="AH65" s="6"/>
    </row>
    <row r="66" spans="1:33" ht="15.75">
      <c r="A66" s="3" t="s">
        <v>2</v>
      </c>
      <c r="B66" s="22">
        <v>167</v>
      </c>
      <c r="C66" s="22">
        <v>146.1</v>
      </c>
      <c r="D66" s="22">
        <v>0.4</v>
      </c>
      <c r="E66" s="22"/>
      <c r="F66" s="22">
        <v>16.8</v>
      </c>
      <c r="G66" s="22"/>
      <c r="H66" s="22">
        <v>14.9</v>
      </c>
      <c r="I66" s="22"/>
      <c r="J66" s="26"/>
      <c r="K66" s="22">
        <v>10.4</v>
      </c>
      <c r="L66" s="22"/>
      <c r="M66" s="22">
        <v>71.4</v>
      </c>
      <c r="N66" s="22"/>
      <c r="O66" s="27">
        <v>0.3</v>
      </c>
      <c r="P66" s="22">
        <v>1.2</v>
      </c>
      <c r="Q66" s="22"/>
      <c r="R66" s="22"/>
      <c r="S66" s="26">
        <v>1.4</v>
      </c>
      <c r="T66" s="26">
        <v>16</v>
      </c>
      <c r="U66" s="26">
        <v>1.2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134</v>
      </c>
      <c r="AG66" s="22">
        <f t="shared" si="15"/>
        <v>179.10000000000002</v>
      </c>
    </row>
    <row r="67" spans="1:33" ht="15.75">
      <c r="A67" s="3" t="s">
        <v>16</v>
      </c>
      <c r="B67" s="22">
        <v>43.2</v>
      </c>
      <c r="C67" s="22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.75">
      <c r="A68" s="3" t="s">
        <v>23</v>
      </c>
      <c r="B68" s="22">
        <f aca="true" t="shared" si="16" ref="B68:AD68">B62-B63-B66-B67-B65-B64</f>
        <v>1018.4999999999998</v>
      </c>
      <c r="C68" s="22">
        <f t="shared" si="16"/>
        <v>210.49999999999997</v>
      </c>
      <c r="D68" s="22">
        <f t="shared" si="16"/>
        <v>0</v>
      </c>
      <c r="E68" s="22">
        <f t="shared" si="16"/>
        <v>0</v>
      </c>
      <c r="F68" s="22">
        <f t="shared" si="16"/>
        <v>97.6</v>
      </c>
      <c r="G68" s="22">
        <f t="shared" si="16"/>
        <v>0</v>
      </c>
      <c r="H68" s="22">
        <f t="shared" si="16"/>
        <v>25.2</v>
      </c>
      <c r="I68" s="22">
        <f t="shared" si="16"/>
        <v>0</v>
      </c>
      <c r="J68" s="22">
        <f t="shared" si="16"/>
        <v>0</v>
      </c>
      <c r="K68" s="22">
        <f t="shared" si="16"/>
        <v>145.59999999999994</v>
      </c>
      <c r="L68" s="22">
        <f t="shared" si="16"/>
        <v>113.2</v>
      </c>
      <c r="M68" s="22">
        <f t="shared" si="16"/>
        <v>56.69999999999998</v>
      </c>
      <c r="N68" s="22">
        <f t="shared" si="16"/>
        <v>0</v>
      </c>
      <c r="O68" s="22">
        <f t="shared" si="16"/>
        <v>10.100000000000003</v>
      </c>
      <c r="P68" s="22">
        <f t="shared" si="16"/>
        <v>29.900000000000002</v>
      </c>
      <c r="Q68" s="22">
        <f t="shared" si="16"/>
        <v>0</v>
      </c>
      <c r="R68" s="22">
        <f t="shared" si="16"/>
        <v>9</v>
      </c>
      <c r="S68" s="22">
        <f t="shared" si="16"/>
        <v>27.900000000000002</v>
      </c>
      <c r="T68" s="22">
        <f t="shared" si="16"/>
        <v>27.000000000000004</v>
      </c>
      <c r="U68" s="22">
        <f t="shared" si="16"/>
        <v>3.5000000000000036</v>
      </c>
      <c r="V68" s="22">
        <f t="shared" si="16"/>
        <v>165.10000000000002</v>
      </c>
      <c r="W68" s="22">
        <f t="shared" si="16"/>
        <v>47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757.8</v>
      </c>
      <c r="AG68" s="22">
        <f>AG62-AG63-AG66-AG67-AG65-AG64</f>
        <v>471.2</v>
      </c>
    </row>
    <row r="69" spans="1:33" ht="31.5">
      <c r="A69" s="4" t="s">
        <v>46</v>
      </c>
      <c r="B69" s="22">
        <f>3172.3+948.2</f>
        <v>4120.5</v>
      </c>
      <c r="C69" s="22">
        <v>840.8</v>
      </c>
      <c r="D69" s="22"/>
      <c r="E69" s="22">
        <v>1853.3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>
        <v>812.9</v>
      </c>
      <c r="R69" s="22"/>
      <c r="S69" s="26">
        <v>1333.3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3999.5</v>
      </c>
      <c r="AG69" s="30">
        <f aca="true" t="shared" si="17" ref="AG69:AG92">B69+C69-AF69</f>
        <v>961.8000000000002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389.9</v>
      </c>
      <c r="D71" s="28"/>
      <c r="E71" s="28">
        <v>92.5</v>
      </c>
      <c r="F71" s="28"/>
      <c r="G71" s="28"/>
      <c r="H71" s="28"/>
      <c r="I71" s="28"/>
      <c r="J71" s="29"/>
      <c r="K71" s="28">
        <v>565.2</v>
      </c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121.3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779</v>
      </c>
      <c r="AG71" s="30">
        <f t="shared" si="17"/>
        <v>435.79999999999995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1169.9+346.9-167.5-42.5-0.4</f>
        <v>1306.4</v>
      </c>
      <c r="C72" s="22">
        <v>1900.9</v>
      </c>
      <c r="D72" s="22"/>
      <c r="E72" s="22">
        <v>86</v>
      </c>
      <c r="F72" s="22">
        <f>66+42.5</f>
        <v>108.5</v>
      </c>
      <c r="G72" s="22">
        <v>29.8</v>
      </c>
      <c r="H72" s="22">
        <v>19.9</v>
      </c>
      <c r="I72" s="22"/>
      <c r="J72" s="26"/>
      <c r="K72" s="22">
        <f>187.4+30.9</f>
        <v>218.3</v>
      </c>
      <c r="L72" s="22"/>
      <c r="M72" s="22">
        <v>71.6</v>
      </c>
      <c r="N72" s="22">
        <v>6.9</v>
      </c>
      <c r="O72" s="22">
        <v>10.4</v>
      </c>
      <c r="P72" s="22">
        <v>3.9</v>
      </c>
      <c r="Q72" s="27">
        <v>42.7</v>
      </c>
      <c r="R72" s="22">
        <f>19+11.8</f>
        <v>30.8</v>
      </c>
      <c r="S72" s="26"/>
      <c r="T72" s="26">
        <v>47.6</v>
      </c>
      <c r="U72" s="26">
        <v>294.5</v>
      </c>
      <c r="V72" s="26"/>
      <c r="W72" s="26">
        <v>22.7</v>
      </c>
      <c r="X72" s="22">
        <v>3.3</v>
      </c>
      <c r="Y72" s="26"/>
      <c r="Z72" s="26"/>
      <c r="AA72" s="26"/>
      <c r="AB72" s="22"/>
      <c r="AC72" s="22"/>
      <c r="AD72" s="22"/>
      <c r="AE72" s="22"/>
      <c r="AF72" s="27">
        <f t="shared" si="14"/>
        <v>996.9</v>
      </c>
      <c r="AG72" s="30">
        <f t="shared" si="17"/>
        <v>2210.4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391.7</v>
      </c>
      <c r="C74" s="22">
        <v>579.3</v>
      </c>
      <c r="D74" s="22"/>
      <c r="E74" s="22">
        <v>47.8</v>
      </c>
      <c r="F74" s="22">
        <v>94.4</v>
      </c>
      <c r="G74" s="22"/>
      <c r="H74" s="22">
        <v>18.1</v>
      </c>
      <c r="I74" s="22"/>
      <c r="J74" s="26"/>
      <c r="K74" s="22">
        <v>30</v>
      </c>
      <c r="L74" s="22"/>
      <c r="M74" s="22"/>
      <c r="N74" s="22"/>
      <c r="O74" s="22"/>
      <c r="P74" s="22"/>
      <c r="Q74" s="27">
        <v>15.2</v>
      </c>
      <c r="R74" s="22"/>
      <c r="S74" s="26"/>
      <c r="T74" s="26">
        <v>36.5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241.99999999999997</v>
      </c>
      <c r="AG74" s="30">
        <f t="shared" si="17"/>
        <v>729</v>
      </c>
    </row>
    <row r="75" spans="1:33" ht="15" customHeight="1">
      <c r="A75" s="3" t="s">
        <v>16</v>
      </c>
      <c r="B75" s="22">
        <v>91.1</v>
      </c>
      <c r="C75" s="22">
        <v>0.5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85.19999999999999</v>
      </c>
    </row>
    <row r="76" spans="1:33" s="11" customFormat="1" ht="15.75">
      <c r="A76" s="12" t="s">
        <v>49</v>
      </c>
      <c r="B76" s="22">
        <v>128.9</v>
      </c>
      <c r="C76" s="22">
        <v>130</v>
      </c>
      <c r="D76" s="22"/>
      <c r="E76" s="28">
        <v>6.3</v>
      </c>
      <c r="F76" s="28"/>
      <c r="G76" s="28"/>
      <c r="H76" s="28"/>
      <c r="I76" s="28"/>
      <c r="J76" s="29"/>
      <c r="K76" s="28">
        <v>46.3</v>
      </c>
      <c r="L76" s="28"/>
      <c r="M76" s="28"/>
      <c r="N76" s="28"/>
      <c r="O76" s="28"/>
      <c r="P76" s="28"/>
      <c r="Q76" s="31"/>
      <c r="R76" s="28">
        <v>13.6</v>
      </c>
      <c r="S76" s="29"/>
      <c r="T76" s="29">
        <v>50.5</v>
      </c>
      <c r="U76" s="28">
        <v>6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122.69999999999999</v>
      </c>
      <c r="AG76" s="30">
        <f t="shared" si="17"/>
        <v>136.2</v>
      </c>
    </row>
    <row r="77" spans="1:33" s="11" customFormat="1" ht="15.75">
      <c r="A77" s="3" t="s">
        <v>5</v>
      </c>
      <c r="B77" s="22">
        <v>88.9</v>
      </c>
      <c r="C77" s="22">
        <v>0.6</v>
      </c>
      <c r="D77" s="22"/>
      <c r="E77" s="28"/>
      <c r="F77" s="28"/>
      <c r="G77" s="28"/>
      <c r="H77" s="28"/>
      <c r="I77" s="28"/>
      <c r="J77" s="29"/>
      <c r="K77" s="28">
        <v>46.3</v>
      </c>
      <c r="L77" s="28"/>
      <c r="M77" s="28"/>
      <c r="N77" s="28"/>
      <c r="O77" s="28"/>
      <c r="P77" s="28"/>
      <c r="Q77" s="31"/>
      <c r="R77" s="28"/>
      <c r="S77" s="29"/>
      <c r="T77" s="29">
        <v>42.7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</v>
      </c>
      <c r="AG77" s="30">
        <f t="shared" si="17"/>
        <v>0.5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6.1</v>
      </c>
      <c r="C80" s="22">
        <v>8.5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6</v>
      </c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</v>
      </c>
      <c r="AG80" s="30">
        <f t="shared" si="17"/>
        <v>8.6</v>
      </c>
    </row>
    <row r="81" spans="1:33" s="11" customFormat="1" ht="15.75">
      <c r="A81" s="12" t="s">
        <v>50</v>
      </c>
      <c r="B81" s="22">
        <v>64.1</v>
      </c>
      <c r="C81" s="28">
        <v>0</v>
      </c>
      <c r="D81" s="28"/>
      <c r="E81" s="28"/>
      <c r="F81" s="28"/>
      <c r="G81" s="28"/>
      <c r="H81" s="28"/>
      <c r="I81" s="28">
        <v>19.2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19.2</v>
      </c>
      <c r="AG81" s="30">
        <f t="shared" si="17"/>
        <v>44.89999999999999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5950-1000-281.5</f>
        <v>4668.5</v>
      </c>
      <c r="C89" s="22">
        <v>4137.5</v>
      </c>
      <c r="D89" s="22"/>
      <c r="E89" s="22"/>
      <c r="F89" s="22"/>
      <c r="G89" s="22">
        <v>127</v>
      </c>
      <c r="H89" s="22">
        <v>188.8</v>
      </c>
      <c r="I89" s="22"/>
      <c r="J89" s="22"/>
      <c r="K89" s="22">
        <f>35+34.4</f>
        <v>69.4</v>
      </c>
      <c r="L89" s="22">
        <v>131.7</v>
      </c>
      <c r="M89" s="22"/>
      <c r="N89" s="22">
        <v>84.3</v>
      </c>
      <c r="O89" s="22">
        <v>48.1</v>
      </c>
      <c r="P89" s="22"/>
      <c r="Q89" s="22">
        <v>145.2</v>
      </c>
      <c r="R89" s="22">
        <v>164.4</v>
      </c>
      <c r="S89" s="26"/>
      <c r="T89" s="26"/>
      <c r="U89" s="22"/>
      <c r="V89" s="22">
        <v>282.5</v>
      </c>
      <c r="W89" s="22"/>
      <c r="X89" s="26">
        <v>2057</v>
      </c>
      <c r="Y89" s="26"/>
      <c r="Z89" s="26"/>
      <c r="AA89" s="26"/>
      <c r="AB89" s="22"/>
      <c r="AC89" s="22"/>
      <c r="AD89" s="22"/>
      <c r="AE89" s="22"/>
      <c r="AF89" s="27">
        <f t="shared" si="14"/>
        <v>3298.4</v>
      </c>
      <c r="AG89" s="22">
        <f t="shared" si="17"/>
        <v>5507.6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f>833.3-100</f>
        <v>733.3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2400</v>
      </c>
      <c r="AH91" s="11"/>
    </row>
    <row r="92" spans="1:34" ht="15.75">
      <c r="A92" s="4" t="s">
        <v>37</v>
      </c>
      <c r="B92" s="22">
        <f>18956+4476.3+281.4</f>
        <v>23713.7</v>
      </c>
      <c r="C92" s="22">
        <v>0</v>
      </c>
      <c r="D92" s="22"/>
      <c r="E92" s="22"/>
      <c r="F92" s="22"/>
      <c r="G92" s="22"/>
      <c r="H92" s="22">
        <v>1500</v>
      </c>
      <c r="I92" s="22">
        <v>6413</v>
      </c>
      <c r="J92" s="22"/>
      <c r="K92" s="22"/>
      <c r="L92" s="22"/>
      <c r="M92" s="22"/>
      <c r="N92" s="22">
        <v>155.4</v>
      </c>
      <c r="O92" s="22">
        <v>2591.5</v>
      </c>
      <c r="P92" s="22"/>
      <c r="Q92" s="22">
        <v>899.7</v>
      </c>
      <c r="R92" s="22"/>
      <c r="S92" s="26">
        <v>3383.3</v>
      </c>
      <c r="T92" s="26"/>
      <c r="U92" s="22"/>
      <c r="V92" s="22"/>
      <c r="W92" s="22">
        <v>1969.5</v>
      </c>
      <c r="X92" s="26">
        <v>5413.3</v>
      </c>
      <c r="Y92" s="26">
        <v>1388</v>
      </c>
      <c r="Z92" s="26"/>
      <c r="AA92" s="26"/>
      <c r="AB92" s="22"/>
      <c r="AC92" s="22"/>
      <c r="AD92" s="22"/>
      <c r="AE92" s="22"/>
      <c r="AF92" s="27">
        <f t="shared" si="14"/>
        <v>23713.7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159331.9</v>
      </c>
      <c r="C94" s="42">
        <f t="shared" si="18"/>
        <v>60274.10000000001</v>
      </c>
      <c r="D94" s="42">
        <f t="shared" si="18"/>
        <v>7.9</v>
      </c>
      <c r="E94" s="42">
        <f t="shared" si="18"/>
        <v>4681.9</v>
      </c>
      <c r="F94" s="42">
        <f t="shared" si="18"/>
        <v>4364.7</v>
      </c>
      <c r="G94" s="42">
        <f t="shared" si="18"/>
        <v>4086.2000000000003</v>
      </c>
      <c r="H94" s="42">
        <f t="shared" si="18"/>
        <v>1900.5</v>
      </c>
      <c r="I94" s="42">
        <f t="shared" si="18"/>
        <v>7163.9</v>
      </c>
      <c r="J94" s="42">
        <f t="shared" si="18"/>
        <v>1309.1</v>
      </c>
      <c r="K94" s="42">
        <f t="shared" si="18"/>
        <v>32305.800000000003</v>
      </c>
      <c r="L94" s="42">
        <f t="shared" si="18"/>
        <v>4315.799999999999</v>
      </c>
      <c r="M94" s="42">
        <f t="shared" si="18"/>
        <v>515.5</v>
      </c>
      <c r="N94" s="42">
        <f t="shared" si="18"/>
        <v>1393.7000000000003</v>
      </c>
      <c r="O94" s="42">
        <f t="shared" si="18"/>
        <v>4014.6</v>
      </c>
      <c r="P94" s="42">
        <f t="shared" si="18"/>
        <v>7974.9</v>
      </c>
      <c r="Q94" s="42">
        <f t="shared" si="18"/>
        <v>2982.9000000000005</v>
      </c>
      <c r="R94" s="42">
        <f t="shared" si="18"/>
        <v>2806.4</v>
      </c>
      <c r="S94" s="42">
        <f t="shared" si="18"/>
        <v>4867.4</v>
      </c>
      <c r="T94" s="42">
        <f t="shared" si="18"/>
        <v>4665.400000000001</v>
      </c>
      <c r="U94" s="42">
        <f t="shared" si="18"/>
        <v>38745.99999999999</v>
      </c>
      <c r="V94" s="42">
        <f t="shared" si="18"/>
        <v>8953.099999999999</v>
      </c>
      <c r="W94" s="42">
        <f t="shared" si="18"/>
        <v>3872</v>
      </c>
      <c r="X94" s="42">
        <f t="shared" si="18"/>
        <v>8866.8</v>
      </c>
      <c r="Y94" s="42">
        <f t="shared" si="18"/>
        <v>2202.6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151997.1</v>
      </c>
      <c r="AG94" s="58">
        <f>AG10+AG15+AG24+AG33+AG47+AG52+AG54+AG61+AG62+AG69+AG71+AG72+AG76+AG81+AG82+AG83+AG88+AG89+AG90+AG91+AG70+AG40+AG92</f>
        <v>67608.89999999998</v>
      </c>
    </row>
    <row r="95" spans="1:33" ht="15.75">
      <c r="A95" s="3" t="s">
        <v>5</v>
      </c>
      <c r="B95" s="22">
        <f aca="true" t="shared" si="19" ref="B95:AD95">B11+B17+B26+B34+B55+B63+B73+B41+B77+B48</f>
        <v>55239.69999999999</v>
      </c>
      <c r="C95" s="22">
        <f t="shared" si="19"/>
        <v>17682.3</v>
      </c>
      <c r="D95" s="22">
        <f t="shared" si="19"/>
        <v>0</v>
      </c>
      <c r="E95" s="22">
        <f t="shared" si="19"/>
        <v>5.7</v>
      </c>
      <c r="F95" s="22">
        <f t="shared" si="19"/>
        <v>26.799999999999997</v>
      </c>
      <c r="G95" s="22">
        <f t="shared" si="19"/>
        <v>95.2</v>
      </c>
      <c r="H95" s="22">
        <f t="shared" si="19"/>
        <v>7.6</v>
      </c>
      <c r="I95" s="22">
        <f t="shared" si="19"/>
        <v>309.4</v>
      </c>
      <c r="J95" s="22">
        <f t="shared" si="19"/>
        <v>0</v>
      </c>
      <c r="K95" s="22">
        <f t="shared" si="19"/>
        <v>15244.499999999998</v>
      </c>
      <c r="L95" s="22">
        <f t="shared" si="19"/>
        <v>3797.7</v>
      </c>
      <c r="M95" s="22">
        <f t="shared" si="19"/>
        <v>8</v>
      </c>
      <c r="N95" s="22">
        <f t="shared" si="19"/>
        <v>747.5</v>
      </c>
      <c r="O95" s="22">
        <f t="shared" si="19"/>
        <v>2.8</v>
      </c>
      <c r="P95" s="22">
        <f t="shared" si="19"/>
        <v>0</v>
      </c>
      <c r="Q95" s="22">
        <f t="shared" si="19"/>
        <v>20.2</v>
      </c>
      <c r="R95" s="22">
        <f t="shared" si="19"/>
        <v>0</v>
      </c>
      <c r="S95" s="22">
        <f t="shared" si="19"/>
        <v>0</v>
      </c>
      <c r="T95" s="22">
        <f t="shared" si="19"/>
        <v>42.7</v>
      </c>
      <c r="U95" s="22">
        <f t="shared" si="19"/>
        <v>21591.9</v>
      </c>
      <c r="V95" s="22">
        <f t="shared" si="19"/>
        <v>4237.8</v>
      </c>
      <c r="W95" s="22">
        <f t="shared" si="19"/>
        <v>1648.6000000000001</v>
      </c>
      <c r="X95" s="22">
        <f t="shared" si="19"/>
        <v>1340.8</v>
      </c>
      <c r="Y95" s="22">
        <f t="shared" si="19"/>
        <v>-4.5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49122.700000000004</v>
      </c>
      <c r="AG95" s="27">
        <f>B95+C95-AF95</f>
        <v>23799.29999999998</v>
      </c>
    </row>
    <row r="96" spans="1:33" ht="15.75">
      <c r="A96" s="3" t="s">
        <v>2</v>
      </c>
      <c r="B96" s="22">
        <f aca="true" t="shared" si="20" ref="B96:AD96">B12+B20+B29+B36+B57+B66+B44+B80+B74+B53</f>
        <v>14720.800000000003</v>
      </c>
      <c r="C96" s="22">
        <f t="shared" si="20"/>
        <v>18600.699999999997</v>
      </c>
      <c r="D96" s="22">
        <f t="shared" si="20"/>
        <v>0.4</v>
      </c>
      <c r="E96" s="22">
        <f t="shared" si="20"/>
        <v>1133.3999999999999</v>
      </c>
      <c r="F96" s="22">
        <f t="shared" si="20"/>
        <v>3238.9000000000005</v>
      </c>
      <c r="G96" s="22">
        <f t="shared" si="20"/>
        <v>2417.8999999999996</v>
      </c>
      <c r="H96" s="22">
        <f t="shared" si="20"/>
        <v>33</v>
      </c>
      <c r="I96" s="22">
        <f t="shared" si="20"/>
        <v>0</v>
      </c>
      <c r="J96" s="22">
        <f t="shared" si="20"/>
        <v>0</v>
      </c>
      <c r="K96" s="22">
        <f t="shared" si="20"/>
        <v>3463.9999999999995</v>
      </c>
      <c r="L96" s="22">
        <f t="shared" si="20"/>
        <v>0</v>
      </c>
      <c r="M96" s="22">
        <f t="shared" si="20"/>
        <v>143.2</v>
      </c>
      <c r="N96" s="22">
        <f t="shared" si="20"/>
        <v>1.4</v>
      </c>
      <c r="O96" s="22">
        <f t="shared" si="20"/>
        <v>439</v>
      </c>
      <c r="P96" s="22">
        <f t="shared" si="20"/>
        <v>2435.6999999999994</v>
      </c>
      <c r="Q96" s="22">
        <f t="shared" si="20"/>
        <v>767.5000000000001</v>
      </c>
      <c r="R96" s="22">
        <f t="shared" si="20"/>
        <v>2136.6</v>
      </c>
      <c r="S96" s="22">
        <f t="shared" si="20"/>
        <v>114.10000000000001</v>
      </c>
      <c r="T96" s="22">
        <f t="shared" si="20"/>
        <v>807.0999999999999</v>
      </c>
      <c r="U96" s="22">
        <f t="shared" si="20"/>
        <v>950.7</v>
      </c>
      <c r="V96" s="22">
        <f t="shared" si="20"/>
        <v>2251.7</v>
      </c>
      <c r="W96" s="22">
        <f t="shared" si="20"/>
        <v>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20336.4</v>
      </c>
      <c r="AG96" s="27">
        <f>B96+C96-AF96</f>
        <v>12985.099999999999</v>
      </c>
    </row>
    <row r="97" spans="1:33" ht="15.75">
      <c r="A97" s="3" t="s">
        <v>3</v>
      </c>
      <c r="B97" s="22">
        <f aca="true" t="shared" si="21" ref="B97:AA97">B18+B27+B42+B64+B78</f>
        <v>18.7</v>
      </c>
      <c r="C97" s="22">
        <f t="shared" si="21"/>
        <v>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2.5</v>
      </c>
      <c r="L97" s="22">
        <f t="shared" si="21"/>
        <v>0</v>
      </c>
      <c r="M97" s="22">
        <f t="shared" si="21"/>
        <v>0</v>
      </c>
      <c r="N97" s="22">
        <f t="shared" si="21"/>
        <v>4.3</v>
      </c>
      <c r="O97" s="22">
        <f t="shared" si="21"/>
        <v>3.3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7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17.1</v>
      </c>
      <c r="AG97" s="27">
        <f>B97+C97-AF97</f>
        <v>7.599999999999998</v>
      </c>
    </row>
    <row r="98" spans="1:33" ht="15.75">
      <c r="A98" s="3" t="s">
        <v>1</v>
      </c>
      <c r="B98" s="22">
        <f aca="true" t="shared" si="22" ref="B98:AD98">B19+B28+B65+B35+B43+B56+B79</f>
        <v>3382.7999999999997</v>
      </c>
      <c r="C98" s="22">
        <f t="shared" si="22"/>
        <v>1134.5</v>
      </c>
      <c r="D98" s="22">
        <f t="shared" si="22"/>
        <v>4.5</v>
      </c>
      <c r="E98" s="22">
        <f t="shared" si="22"/>
        <v>0</v>
      </c>
      <c r="F98" s="22">
        <f t="shared" si="22"/>
        <v>327.40000000000003</v>
      </c>
      <c r="G98" s="22">
        <f t="shared" si="22"/>
        <v>702.1</v>
      </c>
      <c r="H98" s="22">
        <f t="shared" si="22"/>
        <v>40.7</v>
      </c>
      <c r="I98" s="22">
        <f t="shared" si="22"/>
        <v>413.5</v>
      </c>
      <c r="J98" s="22">
        <f t="shared" si="22"/>
        <v>0</v>
      </c>
      <c r="K98" s="22">
        <f t="shared" si="22"/>
        <v>215.1</v>
      </c>
      <c r="L98" s="22">
        <f t="shared" si="22"/>
        <v>0</v>
      </c>
      <c r="M98" s="22">
        <f t="shared" si="22"/>
        <v>14.5</v>
      </c>
      <c r="N98" s="22">
        <f t="shared" si="22"/>
        <v>138.6</v>
      </c>
      <c r="O98" s="22">
        <f t="shared" si="22"/>
        <v>1.1</v>
      </c>
      <c r="P98" s="22">
        <f t="shared" si="22"/>
        <v>465.4</v>
      </c>
      <c r="Q98" s="22">
        <f t="shared" si="22"/>
        <v>2.5</v>
      </c>
      <c r="R98" s="22">
        <f t="shared" si="22"/>
        <v>46.3</v>
      </c>
      <c r="S98" s="22">
        <f t="shared" si="22"/>
        <v>0</v>
      </c>
      <c r="T98" s="22">
        <f t="shared" si="22"/>
        <v>97.2</v>
      </c>
      <c r="U98" s="22">
        <f t="shared" si="22"/>
        <v>443.5</v>
      </c>
      <c r="V98" s="22">
        <f t="shared" si="22"/>
        <v>320.5</v>
      </c>
      <c r="W98" s="22">
        <f t="shared" si="22"/>
        <v>132.20000000000002</v>
      </c>
      <c r="X98" s="22">
        <f t="shared" si="22"/>
        <v>1.4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3366.4999999999995</v>
      </c>
      <c r="AG98" s="27">
        <f>B98+C98-AF98</f>
        <v>1150.7999999999997</v>
      </c>
    </row>
    <row r="99" spans="1:33" ht="15.75">
      <c r="A99" s="3" t="s">
        <v>16</v>
      </c>
      <c r="B99" s="22">
        <f aca="true" t="shared" si="23" ref="B99:X99">B21+B30+B49+B37+B58+B13+B75+B67</f>
        <v>2352.8999999999996</v>
      </c>
      <c r="C99" s="22">
        <f t="shared" si="23"/>
        <v>1181.4</v>
      </c>
      <c r="D99" s="22">
        <f t="shared" si="23"/>
        <v>0</v>
      </c>
      <c r="E99" s="22">
        <f t="shared" si="23"/>
        <v>51.6</v>
      </c>
      <c r="F99" s="22">
        <f t="shared" si="23"/>
        <v>0</v>
      </c>
      <c r="G99" s="22">
        <f t="shared" si="23"/>
        <v>113.10000000000001</v>
      </c>
      <c r="H99" s="22">
        <f t="shared" si="23"/>
        <v>69.9</v>
      </c>
      <c r="I99" s="22">
        <f t="shared" si="23"/>
        <v>0</v>
      </c>
      <c r="J99" s="22">
        <f t="shared" si="23"/>
        <v>0</v>
      </c>
      <c r="K99" s="22">
        <f t="shared" si="23"/>
        <v>134.8</v>
      </c>
      <c r="L99" s="22">
        <f t="shared" si="23"/>
        <v>0</v>
      </c>
      <c r="M99" s="22">
        <f t="shared" si="23"/>
        <v>9</v>
      </c>
      <c r="N99" s="22">
        <f t="shared" si="23"/>
        <v>198.9</v>
      </c>
      <c r="O99" s="22">
        <f t="shared" si="23"/>
        <v>474.7</v>
      </c>
      <c r="P99" s="22">
        <f t="shared" si="23"/>
        <v>0</v>
      </c>
      <c r="Q99" s="22">
        <f t="shared" si="23"/>
        <v>164.8</v>
      </c>
      <c r="R99" s="22">
        <f t="shared" si="23"/>
        <v>143.3</v>
      </c>
      <c r="S99" s="22">
        <f t="shared" si="23"/>
        <v>0</v>
      </c>
      <c r="T99" s="22">
        <f t="shared" si="23"/>
        <v>175.1</v>
      </c>
      <c r="U99" s="22">
        <f t="shared" si="23"/>
        <v>535.6999999999999</v>
      </c>
      <c r="V99" s="22">
        <f t="shared" si="23"/>
        <v>393.8</v>
      </c>
      <c r="W99" s="22">
        <f t="shared" si="23"/>
        <v>24.9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2489.6</v>
      </c>
      <c r="AG99" s="27">
        <f>B99+C99-AF99</f>
        <v>1044.6999999999998</v>
      </c>
    </row>
    <row r="100" spans="1:33" ht="12.75">
      <c r="A100" s="1" t="s">
        <v>35</v>
      </c>
      <c r="B100" s="2">
        <f aca="true" t="shared" si="25" ref="B100:AD100">B94-B95-B96-B97-B98-B99</f>
        <v>83617.00000000001</v>
      </c>
      <c r="C100" s="2">
        <f t="shared" si="25"/>
        <v>21669.20000000002</v>
      </c>
      <c r="D100" s="2">
        <f t="shared" si="25"/>
        <v>3</v>
      </c>
      <c r="E100" s="2">
        <f t="shared" si="25"/>
        <v>3491.2000000000003</v>
      </c>
      <c r="F100" s="2">
        <f t="shared" si="25"/>
        <v>771.599999999999</v>
      </c>
      <c r="G100" s="2">
        <f t="shared" si="25"/>
        <v>757.9000000000008</v>
      </c>
      <c r="H100" s="2">
        <f t="shared" si="25"/>
        <v>1749.3</v>
      </c>
      <c r="I100" s="2">
        <f t="shared" si="25"/>
        <v>6441</v>
      </c>
      <c r="J100" s="2">
        <f t="shared" si="25"/>
        <v>1309.1</v>
      </c>
      <c r="K100" s="2">
        <f t="shared" si="25"/>
        <v>13244.900000000003</v>
      </c>
      <c r="L100" s="2">
        <f t="shared" si="25"/>
        <v>518.0999999999995</v>
      </c>
      <c r="M100" s="2">
        <f t="shared" si="25"/>
        <v>340.8</v>
      </c>
      <c r="N100" s="2">
        <f t="shared" si="25"/>
        <v>303.00000000000034</v>
      </c>
      <c r="O100" s="2">
        <f t="shared" si="25"/>
        <v>3093.7</v>
      </c>
      <c r="P100" s="2">
        <f t="shared" si="25"/>
        <v>5073.800000000001</v>
      </c>
      <c r="Q100" s="2">
        <f t="shared" si="25"/>
        <v>2027.9000000000008</v>
      </c>
      <c r="R100" s="2">
        <f t="shared" si="25"/>
        <v>480.2000000000002</v>
      </c>
      <c r="S100" s="2">
        <f t="shared" si="25"/>
        <v>4753.299999999999</v>
      </c>
      <c r="T100" s="2">
        <f t="shared" si="25"/>
        <v>3543.300000000001</v>
      </c>
      <c r="U100" s="2">
        <f t="shared" si="25"/>
        <v>15217.19999999999</v>
      </c>
      <c r="V100" s="2">
        <f t="shared" si="25"/>
        <v>1749.2999999999986</v>
      </c>
      <c r="W100" s="2">
        <f t="shared" si="25"/>
        <v>2064.4999999999995</v>
      </c>
      <c r="X100" s="2">
        <f t="shared" si="25"/>
        <v>7524.599999999999</v>
      </c>
      <c r="Y100" s="2">
        <f t="shared" si="25"/>
        <v>2207.1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76664.79999999999</v>
      </c>
      <c r="AG100" s="2">
        <f>AG94-AG95-AG96-AG97-AG98-AG99</f>
        <v>28621.4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D18" sqref="D1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58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/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0</v>
      </c>
      <c r="C7" s="72">
        <v>14988.6</v>
      </c>
      <c r="D7" s="45"/>
      <c r="E7" s="46"/>
      <c r="F7" s="46"/>
      <c r="G7" s="46"/>
      <c r="H7" s="74"/>
      <c r="I7" s="46"/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30</v>
      </c>
      <c r="B8" s="40">
        <f>SUM(D8:AB8)</f>
        <v>4487.3</v>
      </c>
      <c r="C8" s="40">
        <v>62407.4</v>
      </c>
      <c r="D8" s="43">
        <v>4487.3</v>
      </c>
      <c r="E8" s="55"/>
      <c r="F8" s="55"/>
      <c r="G8" s="55"/>
      <c r="H8" s="55"/>
      <c r="I8" s="55"/>
      <c r="J8" s="56"/>
      <c r="K8" s="55"/>
      <c r="L8" s="55"/>
      <c r="M8" s="55"/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149166.19999999998</v>
      </c>
      <c r="C9" s="24">
        <f t="shared" si="0"/>
        <v>67608.9</v>
      </c>
      <c r="D9" s="24">
        <f t="shared" si="0"/>
        <v>3280.2999999999997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0</v>
      </c>
      <c r="I9" s="24">
        <f t="shared" si="0"/>
        <v>0</v>
      </c>
      <c r="J9" s="24">
        <f t="shared" si="0"/>
        <v>0</v>
      </c>
      <c r="K9" s="24">
        <f t="shared" si="0"/>
        <v>0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3280.2999999999997</v>
      </c>
      <c r="AG9" s="50">
        <f>AG10+AG15+AG24+AG33+AG47+AG52+AG54+AG61+AG62+AG71+AG72+AG76+AG88+AG81+AG83+AG82+AG69+AG89+AG91+AG90+AG70+AG40+AG92</f>
        <v>213494.80000000002</v>
      </c>
      <c r="AH9" s="49"/>
      <c r="AI9" s="49"/>
    </row>
    <row r="10" spans="1:33" ht="15.75">
      <c r="A10" s="4" t="s">
        <v>4</v>
      </c>
      <c r="B10" s="22">
        <v>13342.1</v>
      </c>
      <c r="C10" s="22">
        <v>20020.1</v>
      </c>
      <c r="D10" s="22">
        <v>1.6</v>
      </c>
      <c r="E10" s="22"/>
      <c r="F10" s="22"/>
      <c r="G10" s="22"/>
      <c r="H10" s="22"/>
      <c r="I10" s="22"/>
      <c r="J10" s="25"/>
      <c r="K10" s="22"/>
      <c r="L10" s="22"/>
      <c r="M10" s="22"/>
      <c r="N10" s="22"/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1.6</v>
      </c>
      <c r="AG10" s="27">
        <f>B10+C10-AF10</f>
        <v>33360.6</v>
      </c>
    </row>
    <row r="11" spans="1:33" ht="15.75">
      <c r="A11" s="3" t="s">
        <v>5</v>
      </c>
      <c r="B11" s="22">
        <v>12399.4</v>
      </c>
      <c r="C11" s="22">
        <v>18658.6</v>
      </c>
      <c r="D11" s="22"/>
      <c r="E11" s="22"/>
      <c r="F11" s="22"/>
      <c r="G11" s="22"/>
      <c r="H11" s="22"/>
      <c r="I11" s="22"/>
      <c r="J11" s="26"/>
      <c r="K11" s="22"/>
      <c r="L11" s="22"/>
      <c r="M11" s="22"/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0</v>
      </c>
      <c r="AG11" s="27">
        <f>B11+C11-AF11</f>
        <v>31058</v>
      </c>
    </row>
    <row r="12" spans="1:33" ht="15.75">
      <c r="A12" s="3" t="s">
        <v>2</v>
      </c>
      <c r="B12" s="36">
        <v>294.2</v>
      </c>
      <c r="C12" s="22">
        <v>217.8</v>
      </c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512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648.5000000000007</v>
      </c>
      <c r="C14" s="22">
        <f t="shared" si="2"/>
        <v>1143.7</v>
      </c>
      <c r="D14" s="22">
        <f t="shared" si="2"/>
        <v>1.6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0</v>
      </c>
      <c r="K14" s="22">
        <f t="shared" si="2"/>
        <v>0</v>
      </c>
      <c r="L14" s="22">
        <f t="shared" si="2"/>
        <v>0</v>
      </c>
      <c r="M14" s="22">
        <f t="shared" si="2"/>
        <v>0</v>
      </c>
      <c r="N14" s="22">
        <f t="shared" si="2"/>
        <v>0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1.6</v>
      </c>
      <c r="AG14" s="27">
        <f>AG10-AG11-AG12-AG13</f>
        <v>1790.5999999999985</v>
      </c>
    </row>
    <row r="15" spans="1:33" ht="15" customHeight="1">
      <c r="A15" s="4" t="s">
        <v>6</v>
      </c>
      <c r="B15" s="22">
        <v>48588.5</v>
      </c>
      <c r="C15" s="22">
        <v>18209</v>
      </c>
      <c r="D15" s="44">
        <v>2656.1</v>
      </c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2656.1</v>
      </c>
      <c r="AG15" s="27">
        <f aca="true" t="shared" si="3" ref="AG15:AG31">B15+C15-AF15</f>
        <v>64141.4</v>
      </c>
    </row>
    <row r="16" spans="1:34" s="70" customFormat="1" ht="15" customHeight="1">
      <c r="A16" s="65" t="s">
        <v>38</v>
      </c>
      <c r="B16" s="66">
        <v>18736.8</v>
      </c>
      <c r="C16" s="66">
        <v>2886.4</v>
      </c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0</v>
      </c>
      <c r="AG16" s="71">
        <f t="shared" si="3"/>
        <v>21623.2</v>
      </c>
      <c r="AH16" s="75"/>
    </row>
    <row r="17" spans="1:34" ht="15.75">
      <c r="A17" s="3" t="s">
        <v>5</v>
      </c>
      <c r="B17" s="22">
        <f>35683.9+2656.2</f>
        <v>38340.1</v>
      </c>
      <c r="C17" s="22">
        <v>4665.3</v>
      </c>
      <c r="D17" s="22">
        <v>2656.1</v>
      </c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2656.1</v>
      </c>
      <c r="AG17" s="27">
        <f t="shared" si="3"/>
        <v>40349.3</v>
      </c>
      <c r="AH17" s="6"/>
    </row>
    <row r="18" spans="1:33" ht="15.75">
      <c r="A18" s="3" t="s">
        <v>3</v>
      </c>
      <c r="B18" s="22">
        <v>14</v>
      </c>
      <c r="C18" s="22">
        <v>6.8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20.8</v>
      </c>
    </row>
    <row r="19" spans="1:33" ht="15.75">
      <c r="A19" s="3" t="s">
        <v>1</v>
      </c>
      <c r="B19" s="22">
        <v>2976.8</v>
      </c>
      <c r="C19" s="22">
        <v>1062.7</v>
      </c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0</v>
      </c>
      <c r="AG19" s="27">
        <f t="shared" si="3"/>
        <v>4039.5</v>
      </c>
    </row>
    <row r="20" spans="1:33" ht="15.75">
      <c r="A20" s="3" t="s">
        <v>2</v>
      </c>
      <c r="B20" s="22">
        <f>6166.5-2656.2</f>
        <v>3510.3</v>
      </c>
      <c r="C20" s="22">
        <v>10652.3</v>
      </c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0</v>
      </c>
      <c r="AG20" s="27">
        <f t="shared" si="3"/>
        <v>14162.599999999999</v>
      </c>
    </row>
    <row r="21" spans="1:33" ht="15.75">
      <c r="A21" s="3" t="s">
        <v>16</v>
      </c>
      <c r="B21" s="22">
        <v>1109.6</v>
      </c>
      <c r="C21" s="22">
        <v>306</v>
      </c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0</v>
      </c>
      <c r="AG21" s="27">
        <f t="shared" si="3"/>
        <v>1415.6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2637.700000000001</v>
      </c>
      <c r="C23" s="22">
        <f t="shared" si="4"/>
        <v>1515.9000000000015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0</v>
      </c>
      <c r="AG23" s="27">
        <f t="shared" si="3"/>
        <v>4153.600000000002</v>
      </c>
    </row>
    <row r="24" spans="1:33" ht="15" customHeight="1">
      <c r="A24" s="4" t="s">
        <v>7</v>
      </c>
      <c r="B24" s="22">
        <v>38533</v>
      </c>
      <c r="C24" s="22">
        <v>10294.1</v>
      </c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0</v>
      </c>
      <c r="AG24" s="27">
        <f t="shared" si="3"/>
        <v>48827.1</v>
      </c>
    </row>
    <row r="25" spans="1:34" s="70" customFormat="1" ht="15" customHeight="1">
      <c r="A25" s="65" t="s">
        <v>39</v>
      </c>
      <c r="B25" s="66">
        <v>19856.4</v>
      </c>
      <c r="C25" s="66">
        <v>6282.1</v>
      </c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0</v>
      </c>
      <c r="AG25" s="71">
        <f t="shared" si="3"/>
        <v>26138.5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38533</v>
      </c>
      <c r="C32" s="22">
        <f t="shared" si="5"/>
        <v>10294.1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0</v>
      </c>
      <c r="AG32" s="27">
        <f>AG24</f>
        <v>48827.1</v>
      </c>
    </row>
    <row r="33" spans="1:33" ht="15" customHeight="1">
      <c r="A33" s="4" t="s">
        <v>8</v>
      </c>
      <c r="B33" s="22">
        <v>258.2</v>
      </c>
      <c r="C33" s="22">
        <v>460.7</v>
      </c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0</v>
      </c>
      <c r="AG33" s="27">
        <f aca="true" t="shared" si="6" ref="AG33:AG38">B33+C33-AF33</f>
        <v>718.9</v>
      </c>
    </row>
    <row r="34" spans="1:33" ht="15.75">
      <c r="A34" s="3" t="s">
        <v>5</v>
      </c>
      <c r="B34" s="22">
        <v>234.3</v>
      </c>
      <c r="C34" s="22">
        <v>105.6</v>
      </c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0</v>
      </c>
      <c r="AG34" s="27">
        <f t="shared" si="6"/>
        <v>339.9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10.8</v>
      </c>
      <c r="C36" s="22">
        <v>146.4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157.20000000000002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13.099999999999977</v>
      </c>
      <c r="C39" s="22">
        <f t="shared" si="7"/>
        <v>208.70000000000002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221.79999999999998</v>
      </c>
    </row>
    <row r="40" spans="1:33" ht="15" customHeight="1">
      <c r="A40" s="4" t="s">
        <v>29</v>
      </c>
      <c r="B40" s="22">
        <v>994.8</v>
      </c>
      <c r="C40" s="22">
        <v>214.2</v>
      </c>
      <c r="D40" s="22"/>
      <c r="E40" s="22"/>
      <c r="F40" s="22"/>
      <c r="G40" s="22"/>
      <c r="H40" s="22"/>
      <c r="I40" s="22"/>
      <c r="J40" s="26"/>
      <c r="K40" s="22"/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0</v>
      </c>
      <c r="AG40" s="27">
        <f aca="true" t="shared" si="8" ref="AG40:AG45">B40+C40-AF40</f>
        <v>1209</v>
      </c>
    </row>
    <row r="41" spans="1:34" ht="15.75">
      <c r="A41" s="3" t="s">
        <v>5</v>
      </c>
      <c r="B41" s="22">
        <v>866.7</v>
      </c>
      <c r="C41" s="22">
        <v>77</v>
      </c>
      <c r="D41" s="22"/>
      <c r="E41" s="22"/>
      <c r="F41" s="22"/>
      <c r="G41" s="22"/>
      <c r="H41" s="22"/>
      <c r="I41" s="22"/>
      <c r="J41" s="26"/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0</v>
      </c>
      <c r="AG41" s="27">
        <f t="shared" si="8"/>
        <v>943.7</v>
      </c>
      <c r="AH41" s="6"/>
    </row>
    <row r="42" spans="1:33" ht="15.75">
      <c r="A42" s="3" t="s">
        <v>3</v>
      </c>
      <c r="B42" s="22">
        <v>0</v>
      </c>
      <c r="C42" s="22">
        <v>0.8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0.8</v>
      </c>
    </row>
    <row r="43" spans="1:33" ht="15.75">
      <c r="A43" s="3" t="s">
        <v>1</v>
      </c>
      <c r="B43" s="22">
        <v>8</v>
      </c>
      <c r="C43" s="22">
        <v>5.4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13.4</v>
      </c>
    </row>
    <row r="44" spans="1:33" ht="15.75">
      <c r="A44" s="3" t="s">
        <v>2</v>
      </c>
      <c r="B44" s="22">
        <v>93</v>
      </c>
      <c r="C44" s="22">
        <v>109</v>
      </c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0</v>
      </c>
      <c r="AG44" s="27">
        <f t="shared" si="8"/>
        <v>202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27.09999999999991</v>
      </c>
      <c r="C46" s="22">
        <f t="shared" si="10"/>
        <v>21.99999999999997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0</v>
      </c>
      <c r="AG46" s="27">
        <f>AG40-AG41-AG42-AG43-AG44-AG45</f>
        <v>49.09999999999994</v>
      </c>
    </row>
    <row r="47" spans="1:33" ht="17.25" customHeight="1">
      <c r="A47" s="4" t="s">
        <v>43</v>
      </c>
      <c r="B47" s="36">
        <v>1095.2</v>
      </c>
      <c r="C47" s="22">
        <v>858.7</v>
      </c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0</v>
      </c>
      <c r="AG47" s="27">
        <f>B47+C47-AF47</f>
        <v>1953.9</v>
      </c>
    </row>
    <row r="48" spans="1:33" ht="15.75">
      <c r="A48" s="3" t="s">
        <v>5</v>
      </c>
      <c r="B48" s="22">
        <v>35.5</v>
      </c>
      <c r="C48" s="22">
        <v>18.1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53.6</v>
      </c>
    </row>
    <row r="49" spans="1:33" ht="15.75">
      <c r="A49" s="3" t="s">
        <v>16</v>
      </c>
      <c r="B49" s="22">
        <v>853.7</v>
      </c>
      <c r="C49" s="22">
        <v>643.8</v>
      </c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0</v>
      </c>
      <c r="AG49" s="27">
        <f>B49+C49-AF49</f>
        <v>1497.5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206</v>
      </c>
      <c r="C51" s="22">
        <f t="shared" si="11"/>
        <v>196.80000000000007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0</v>
      </c>
      <c r="AG51" s="27">
        <f>AG47-AG49-AG48</f>
        <v>402.80000000000007</v>
      </c>
    </row>
    <row r="52" spans="1:33" ht="15" customHeight="1">
      <c r="A52" s="4" t="s">
        <v>0</v>
      </c>
      <c r="B52" s="22">
        <v>5053.5</v>
      </c>
      <c r="C52" s="22">
        <v>3466.6</v>
      </c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0</v>
      </c>
      <c r="AG52" s="27">
        <f aca="true" t="shared" si="12" ref="AG52:AG59">B52+C52-AF52</f>
        <v>8520.1</v>
      </c>
    </row>
    <row r="53" spans="1:33" ht="15" customHeight="1">
      <c r="A53" s="3" t="s">
        <v>2</v>
      </c>
      <c r="B53" s="22">
        <v>773.6</v>
      </c>
      <c r="C53" s="22">
        <v>457.8</v>
      </c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0</v>
      </c>
      <c r="AG53" s="27">
        <f t="shared" si="12"/>
        <v>1231.4</v>
      </c>
    </row>
    <row r="54" spans="1:34" ht="15" customHeight="1">
      <c r="A54" s="4" t="s">
        <v>9</v>
      </c>
      <c r="B54" s="44">
        <v>4653</v>
      </c>
      <c r="C54" s="22">
        <v>1478.8</v>
      </c>
      <c r="D54" s="22">
        <v>1.5</v>
      </c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1.5</v>
      </c>
      <c r="AG54" s="22">
        <f t="shared" si="12"/>
        <v>6130.3</v>
      </c>
      <c r="AH54" s="6"/>
    </row>
    <row r="55" spans="1:34" ht="15.75">
      <c r="A55" s="3" t="s">
        <v>5</v>
      </c>
      <c r="B55" s="22">
        <v>3715.4</v>
      </c>
      <c r="C55" s="22">
        <v>169.4</v>
      </c>
      <c r="D55" s="22">
        <v>1.5</v>
      </c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1.5</v>
      </c>
      <c r="AG55" s="22">
        <f t="shared" si="12"/>
        <v>3883.3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289.7</v>
      </c>
      <c r="C57" s="22">
        <v>485.1</v>
      </c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0</v>
      </c>
      <c r="AG57" s="22">
        <f t="shared" si="12"/>
        <v>774.8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642.7999999999998</v>
      </c>
      <c r="C60" s="22">
        <f t="shared" si="13"/>
        <v>824.2999999999998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0</v>
      </c>
      <c r="AG60" s="22">
        <f>AG54-AG55-AG57-AG59-AG56-AG58</f>
        <v>1467.1000000000001</v>
      </c>
    </row>
    <row r="61" spans="1:33" ht="15" customHeight="1">
      <c r="A61" s="4" t="s">
        <v>10</v>
      </c>
      <c r="B61" s="22">
        <v>152.3</v>
      </c>
      <c r="C61" s="22">
        <v>62.5</v>
      </c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214.8</v>
      </c>
    </row>
    <row r="62" spans="1:33" ht="15" customHeight="1">
      <c r="A62" s="4" t="s">
        <v>11</v>
      </c>
      <c r="B62" s="22">
        <v>2447.2</v>
      </c>
      <c r="C62" s="22">
        <v>847.5</v>
      </c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0</v>
      </c>
      <c r="AG62" s="22">
        <f t="shared" si="15"/>
        <v>3294.7</v>
      </c>
    </row>
    <row r="63" spans="1:34" ht="15.75">
      <c r="A63" s="3" t="s">
        <v>5</v>
      </c>
      <c r="B63" s="22">
        <v>1197.5</v>
      </c>
      <c r="C63" s="22">
        <v>104.8</v>
      </c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0</v>
      </c>
      <c r="AG63" s="22">
        <f t="shared" si="15"/>
        <v>1302.3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78</v>
      </c>
      <c r="C65" s="22">
        <v>82.7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160.7</v>
      </c>
      <c r="AH65" s="6"/>
    </row>
    <row r="66" spans="1:33" ht="15.75">
      <c r="A66" s="3" t="s">
        <v>2</v>
      </c>
      <c r="B66" s="22">
        <v>125.4</v>
      </c>
      <c r="C66" s="22">
        <v>179.1</v>
      </c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304.5</v>
      </c>
    </row>
    <row r="67" spans="1:33" ht="15.75">
      <c r="A67" s="3" t="s">
        <v>16</v>
      </c>
      <c r="B67" s="22">
        <v>43.3</v>
      </c>
      <c r="C67" s="22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53</v>
      </c>
    </row>
    <row r="68" spans="1:33" ht="15.75">
      <c r="A68" s="3" t="s">
        <v>23</v>
      </c>
      <c r="B68" s="22">
        <f aca="true" t="shared" si="16" ref="B68:AD68">B62-B63-B66-B67-B65-B64</f>
        <v>1002.9999999999998</v>
      </c>
      <c r="C68" s="22">
        <f t="shared" si="16"/>
        <v>471.2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0</v>
      </c>
      <c r="AG68" s="22">
        <f>AG62-AG63-AG66-AG67-AG65-AG64</f>
        <v>1474.1999999999998</v>
      </c>
    </row>
    <row r="69" spans="1:33" ht="31.5">
      <c r="A69" s="4" t="s">
        <v>46</v>
      </c>
      <c r="B69" s="22">
        <v>3611.4</v>
      </c>
      <c r="C69" s="22">
        <v>961.8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4573.2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1094.9</v>
      </c>
      <c r="C71" s="28">
        <v>435.8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1530.7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1251.3</v>
      </c>
      <c r="C72" s="22">
        <v>2210.4</v>
      </c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0</v>
      </c>
      <c r="AG72" s="30">
        <f t="shared" si="17"/>
        <v>3461.7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39.1</v>
      </c>
    </row>
    <row r="74" spans="1:33" ht="15" customHeight="1">
      <c r="A74" s="3" t="s">
        <v>2</v>
      </c>
      <c r="B74" s="22">
        <v>251.1</v>
      </c>
      <c r="C74" s="22">
        <v>729</v>
      </c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980.1</v>
      </c>
    </row>
    <row r="75" spans="1:33" ht="15" customHeight="1">
      <c r="A75" s="3" t="s">
        <v>16</v>
      </c>
      <c r="B75" s="22">
        <v>11.2</v>
      </c>
      <c r="C75" s="22">
        <v>85.2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96.4</v>
      </c>
    </row>
    <row r="76" spans="1:33" s="11" customFormat="1" ht="15.75">
      <c r="A76" s="12" t="s">
        <v>49</v>
      </c>
      <c r="B76" s="22">
        <v>120.9</v>
      </c>
      <c r="C76" s="22">
        <v>136.2</v>
      </c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0</v>
      </c>
      <c r="AG76" s="30">
        <f t="shared" si="17"/>
        <v>257.1</v>
      </c>
    </row>
    <row r="77" spans="1:33" s="11" customFormat="1" ht="15.75">
      <c r="A77" s="3" t="s">
        <v>5</v>
      </c>
      <c r="B77" s="22">
        <v>88.3</v>
      </c>
      <c r="C77" s="22">
        <v>0.5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0</v>
      </c>
      <c r="AG77" s="30">
        <f t="shared" si="17"/>
        <v>88.8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2.4</v>
      </c>
      <c r="C80" s="22">
        <v>8.6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11</v>
      </c>
    </row>
    <row r="81" spans="1:33" s="11" customFormat="1" ht="15.7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v>7600</v>
      </c>
      <c r="C89" s="22">
        <v>5507.6</v>
      </c>
      <c r="D89" s="22">
        <v>4.7</v>
      </c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4.7</v>
      </c>
      <c r="AG89" s="22">
        <f t="shared" si="17"/>
        <v>13102.9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2457.1</v>
      </c>
      <c r="AH90" s="11"/>
    </row>
    <row r="91" spans="1:34" ht="15.75">
      <c r="A91" s="4" t="s">
        <v>25</v>
      </c>
      <c r="B91" s="22">
        <v>833.3</v>
      </c>
      <c r="C91" s="22">
        <v>2400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3233.3</v>
      </c>
      <c r="AH91" s="11"/>
    </row>
    <row r="92" spans="1:34" ht="15.75">
      <c r="A92" s="4" t="s">
        <v>37</v>
      </c>
      <c r="B92" s="22">
        <v>17079.5</v>
      </c>
      <c r="C92" s="22">
        <v>0</v>
      </c>
      <c r="D92" s="22">
        <v>616.4</v>
      </c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616.4</v>
      </c>
      <c r="AG92" s="22">
        <f t="shared" si="17"/>
        <v>16463.1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149166.19999999998</v>
      </c>
      <c r="C94" s="42">
        <f t="shared" si="18"/>
        <v>67608.9</v>
      </c>
      <c r="D94" s="42">
        <f t="shared" si="18"/>
        <v>3280.2999999999997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0</v>
      </c>
      <c r="I94" s="42">
        <f t="shared" si="18"/>
        <v>0</v>
      </c>
      <c r="J94" s="42">
        <f t="shared" si="18"/>
        <v>0</v>
      </c>
      <c r="K94" s="42">
        <f t="shared" si="18"/>
        <v>0</v>
      </c>
      <c r="L94" s="42">
        <f t="shared" si="18"/>
        <v>0</v>
      </c>
      <c r="M94" s="42">
        <f t="shared" si="18"/>
        <v>0</v>
      </c>
      <c r="N94" s="42">
        <f t="shared" si="18"/>
        <v>0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3280.2999999999997</v>
      </c>
      <c r="AG94" s="58">
        <f>AG10+AG15+AG24+AG33+AG47+AG52+AG54+AG61+AG62+AG69+AG71+AG72+AG76+AG81+AG82+AG83+AG88+AG89+AG90+AG91+AG70+AG40+AG92</f>
        <v>213494.80000000002</v>
      </c>
    </row>
    <row r="95" spans="1:33" ht="15.75">
      <c r="A95" s="3" t="s">
        <v>5</v>
      </c>
      <c r="B95" s="22">
        <f aca="true" t="shared" si="19" ref="B95:AD95">B11+B17+B26+B34+B55+B63+B73+B41+B77+B48</f>
        <v>56916.3</v>
      </c>
      <c r="C95" s="22">
        <f t="shared" si="19"/>
        <v>23799.299999999996</v>
      </c>
      <c r="D95" s="22">
        <f t="shared" si="19"/>
        <v>2657.6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0</v>
      </c>
      <c r="K95" s="22">
        <f t="shared" si="19"/>
        <v>0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2657.6</v>
      </c>
      <c r="AG95" s="27">
        <f>B95+C95-AF95</f>
        <v>78058</v>
      </c>
    </row>
    <row r="96" spans="1:33" ht="15.75">
      <c r="A96" s="3" t="s">
        <v>2</v>
      </c>
      <c r="B96" s="22">
        <f aca="true" t="shared" si="20" ref="B96:AD96">B12+B20+B29+B36+B57+B66+B44+B80+B74+B53</f>
        <v>5350.5</v>
      </c>
      <c r="C96" s="22">
        <f t="shared" si="20"/>
        <v>12985.099999999999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0</v>
      </c>
      <c r="AG96" s="27">
        <f>B96+C96-AF96</f>
        <v>18335.6</v>
      </c>
    </row>
    <row r="97" spans="1:33" ht="15.75">
      <c r="A97" s="3" t="s">
        <v>3</v>
      </c>
      <c r="B97" s="22">
        <f aca="true" t="shared" si="21" ref="B97:AA97">B18+B27+B42+B64+B78</f>
        <v>14</v>
      </c>
      <c r="C97" s="22">
        <f t="shared" si="21"/>
        <v>7.6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21.6</v>
      </c>
    </row>
    <row r="98" spans="1:33" ht="15.75">
      <c r="A98" s="3" t="s">
        <v>1</v>
      </c>
      <c r="B98" s="22">
        <f aca="true" t="shared" si="22" ref="B98:AD98">B19+B28+B65+B35+B43+B56+B79</f>
        <v>3062.8</v>
      </c>
      <c r="C98" s="22">
        <f t="shared" si="22"/>
        <v>1150.8000000000002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0</v>
      </c>
      <c r="AG98" s="27">
        <f>B98+C98-AF98</f>
        <v>4213.6</v>
      </c>
    </row>
    <row r="99" spans="1:33" ht="15.75">
      <c r="A99" s="3" t="s">
        <v>16</v>
      </c>
      <c r="B99" s="22">
        <f aca="true" t="shared" si="23" ref="B99:X99">B21+B30+B49+B37+B58+B13+B75+B67</f>
        <v>2022.8999999999999</v>
      </c>
      <c r="C99" s="22">
        <f t="shared" si="23"/>
        <v>1044.7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0</v>
      </c>
      <c r="AG99" s="27">
        <f>B99+C99-AF99</f>
        <v>3067.6</v>
      </c>
    </row>
    <row r="100" spans="1:33" ht="12.75">
      <c r="A100" s="1" t="s">
        <v>35</v>
      </c>
      <c r="B100" s="2">
        <f aca="true" t="shared" si="25" ref="B100:AD100">B94-B95-B96-B97-B98-B99</f>
        <v>81799.69999999998</v>
      </c>
      <c r="C100" s="2">
        <f t="shared" si="25"/>
        <v>28621.4</v>
      </c>
      <c r="D100" s="2">
        <f t="shared" si="25"/>
        <v>622.6999999999998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0</v>
      </c>
      <c r="I100" s="2">
        <f t="shared" si="25"/>
        <v>0</v>
      </c>
      <c r="J100" s="2">
        <f t="shared" si="25"/>
        <v>0</v>
      </c>
      <c r="K100" s="2">
        <f t="shared" si="25"/>
        <v>0</v>
      </c>
      <c r="L100" s="2">
        <f t="shared" si="25"/>
        <v>0</v>
      </c>
      <c r="M100" s="2">
        <f t="shared" si="25"/>
        <v>0</v>
      </c>
      <c r="N100" s="2">
        <f t="shared" si="25"/>
        <v>0</v>
      </c>
      <c r="O100" s="2">
        <f t="shared" si="25"/>
        <v>0</v>
      </c>
      <c r="P100" s="2">
        <f t="shared" si="25"/>
        <v>0</v>
      </c>
      <c r="Q100" s="2">
        <f t="shared" si="25"/>
        <v>0</v>
      </c>
      <c r="R100" s="2">
        <f t="shared" si="25"/>
        <v>0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622.6999999999998</v>
      </c>
      <c r="AG100" s="2">
        <f>AG94-AG95-AG96-AG97-AG98-AG99</f>
        <v>109798.4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2017-04-03T08:30:44Z</cp:lastPrinted>
  <dcterms:created xsi:type="dcterms:W3CDTF">2002-11-05T08:53:00Z</dcterms:created>
  <dcterms:modified xsi:type="dcterms:W3CDTF">2017-04-04T05:02:33Z</dcterms:modified>
  <cp:category/>
  <cp:version/>
  <cp:contentType/>
  <cp:contentStatus/>
</cp:coreProperties>
</file>